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xbox3\AppData\Local\Temp\ci-excel\"/>
    </mc:Choice>
  </mc:AlternateContent>
  <xr:revisionPtr revIDLastSave="0" documentId="13_ncr:1_{255F2790-0CE6-449B-842B-79CE5FA06413}" xr6:coauthVersionLast="47" xr6:coauthVersionMax="47" xr10:uidLastSave="{00000000-0000-0000-0000-000000000000}"/>
  <bookViews>
    <workbookView xWindow="-120" yWindow="-120" windowWidth="51840" windowHeight="21120" xr2:uid="{00000000-000D-0000-FFFF-FFFF00000000}"/>
  </bookViews>
  <sheets>
    <sheet name="Steuerung" sheetId="1" r:id="rId1"/>
    <sheet name="Use Cases" sheetId="2" r:id="rId2"/>
    <sheet name="Monatsbudget" sheetId="3" r:id="rId3"/>
    <sheet name="Szenarien" sheetId="4" r:id="rId4"/>
    <sheet name="Dashboard" sheetId="5" r:id="rId5"/>
    <sheet name="Quellen &amp; Hinweise" sheetId="6" r:id="rId6"/>
  </sheets>
  <definedNames>
    <definedName name="_xlnm._FilterDatabase" localSheetId="1" hidden="1">'Use Cases'!$A$5:$P$12</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3" l="1"/>
  <c r="F8" i="3"/>
  <c r="F9" i="3"/>
  <c r="F10" i="3"/>
  <c r="F11" i="3"/>
  <c r="F12" i="3"/>
  <c r="F13" i="3"/>
  <c r="F14" i="3"/>
  <c r="F15" i="3"/>
  <c r="F16" i="3"/>
  <c r="F17" i="3"/>
  <c r="K12" i="2"/>
  <c r="P12" i="2" s="1"/>
  <c r="K11" i="2"/>
  <c r="P11" i="2" s="1"/>
  <c r="K7" i="2"/>
  <c r="P7" i="2" s="1"/>
  <c r="E7" i="4"/>
  <c r="D7" i="4"/>
  <c r="C7" i="4"/>
  <c r="B7" i="4"/>
  <c r="J18" i="3"/>
  <c r="I18" i="3"/>
  <c r="H18" i="3"/>
  <c r="K17" i="3"/>
  <c r="K16" i="3"/>
  <c r="K15" i="3"/>
  <c r="K14" i="3"/>
  <c r="K13" i="3"/>
  <c r="K12" i="3"/>
  <c r="K11" i="3"/>
  <c r="K10" i="3"/>
  <c r="K9" i="3"/>
  <c r="K8" i="3"/>
  <c r="K7" i="3"/>
  <c r="K6" i="3"/>
  <c r="M12" i="2"/>
  <c r="J12" i="2"/>
  <c r="M11" i="2"/>
  <c r="O11" i="2" s="1"/>
  <c r="J11" i="2"/>
  <c r="M10" i="2"/>
  <c r="O10" i="2" s="1"/>
  <c r="J10" i="2"/>
  <c r="M9" i="2"/>
  <c r="O9" i="2" s="1"/>
  <c r="J9" i="2"/>
  <c r="M8" i="2"/>
  <c r="O8" i="2" s="1"/>
  <c r="J8" i="2"/>
  <c r="M7" i="2"/>
  <c r="O7" i="2" s="1"/>
  <c r="J7" i="2"/>
  <c r="M6" i="2"/>
  <c r="O6" i="2" s="1"/>
  <c r="J6" i="2"/>
  <c r="I10" i="5" s="1"/>
  <c r="B28" i="1"/>
  <c r="F6" i="3" s="1"/>
  <c r="B27" i="1"/>
  <c r="B26" i="1"/>
  <c r="B25" i="1"/>
  <c r="B24" i="1"/>
  <c r="M17" i="3" l="1"/>
  <c r="K10" i="2"/>
  <c r="P10" i="2" s="1"/>
  <c r="K9" i="2"/>
  <c r="P9" i="2" s="1"/>
  <c r="K8" i="2"/>
  <c r="P8" i="2" s="1"/>
  <c r="K6" i="2"/>
  <c r="P6" i="2" s="1"/>
  <c r="E13" i="4"/>
  <c r="D13" i="4"/>
  <c r="C13" i="4"/>
  <c r="B13" i="4"/>
  <c r="F18" i="3"/>
  <c r="E17" i="3"/>
  <c r="E14" i="3"/>
  <c r="E15" i="3"/>
  <c r="E13" i="3"/>
  <c r="E12" i="3"/>
  <c r="E9" i="3"/>
  <c r="E8" i="3"/>
  <c r="E16" i="3"/>
  <c r="E6" i="3"/>
  <c r="E12" i="4"/>
  <c r="D12" i="4"/>
  <c r="C12" i="4"/>
  <c r="E11" i="3"/>
  <c r="E7" i="3"/>
  <c r="D8" i="3"/>
  <c r="D12" i="3"/>
  <c r="D17" i="3"/>
  <c r="D16" i="3"/>
  <c r="D15" i="3"/>
  <c r="D13" i="3"/>
  <c r="D14" i="3"/>
  <c r="D9" i="3"/>
  <c r="D6" i="3"/>
  <c r="D7" i="3"/>
  <c r="B6" i="3"/>
  <c r="B15" i="3"/>
  <c r="B16" i="3"/>
  <c r="B17" i="3"/>
  <c r="B7" i="3"/>
  <c r="B9" i="3"/>
  <c r="B8" i="3"/>
  <c r="B14" i="3"/>
  <c r="K18" i="3"/>
  <c r="M13" i="2"/>
  <c r="O12" i="2"/>
  <c r="O13" i="2" s="1"/>
  <c r="J13" i="2"/>
  <c r="E10" i="3"/>
  <c r="B12" i="4"/>
  <c r="E11" i="4"/>
  <c r="D10" i="3"/>
  <c r="D11" i="3"/>
  <c r="B11" i="4"/>
  <c r="C11" i="4"/>
  <c r="D11" i="4"/>
  <c r="B10" i="3"/>
  <c r="B11" i="3"/>
  <c r="B12" i="3"/>
  <c r="B13" i="3"/>
  <c r="B18" i="3" l="1"/>
  <c r="E18" i="3"/>
  <c r="K13" i="2"/>
  <c r="P13" i="2" s="1"/>
  <c r="E15" i="4"/>
  <c r="D15" i="4"/>
  <c r="C15" i="4"/>
  <c r="B15" i="4"/>
  <c r="A10" i="5"/>
  <c r="D18" i="3"/>
  <c r="B29" i="1" l="1"/>
  <c r="E10" i="4" s="1"/>
  <c r="C10" i="4" l="1"/>
  <c r="C14" i="4" s="1"/>
  <c r="D10" i="4"/>
  <c r="D14" i="4" s="1"/>
  <c r="C14" i="3"/>
  <c r="G14" i="3" s="1"/>
  <c r="L14" i="3" s="1"/>
  <c r="B10" i="4"/>
  <c r="B14" i="4" s="1"/>
  <c r="C10" i="3"/>
  <c r="G10" i="3" s="1"/>
  <c r="L10" i="3" s="1"/>
  <c r="C9" i="3"/>
  <c r="G9" i="3" s="1"/>
  <c r="L9" i="3" s="1"/>
  <c r="C11" i="3"/>
  <c r="C8" i="3"/>
  <c r="G8" i="3" s="1"/>
  <c r="L8" i="3" s="1"/>
  <c r="C12" i="3"/>
  <c r="G12" i="3" s="1"/>
  <c r="L12" i="3" s="1"/>
  <c r="C16" i="3"/>
  <c r="G16" i="3" s="1"/>
  <c r="C6" i="3"/>
  <c r="E14" i="4"/>
  <c r="C7" i="3"/>
  <c r="C13" i="3"/>
  <c r="G13" i="3" s="1"/>
  <c r="C17" i="3"/>
  <c r="G17" i="3" s="1"/>
  <c r="C15" i="3"/>
  <c r="G15" i="3" s="1"/>
  <c r="E6" i="5"/>
  <c r="B30" i="1"/>
  <c r="B33" i="1" s="1"/>
  <c r="I6" i="5" s="1"/>
  <c r="N10" i="3" l="1"/>
  <c r="O10" i="3" s="1"/>
  <c r="G6" i="3"/>
  <c r="L6" i="3" s="1"/>
  <c r="N7" i="3"/>
  <c r="O7" i="3" s="1"/>
  <c r="N8" i="3"/>
  <c r="O8" i="3" s="1"/>
  <c r="N9" i="3"/>
  <c r="O9" i="3" s="1"/>
  <c r="G11" i="3"/>
  <c r="N11" i="3"/>
  <c r="O11" i="3" s="1"/>
  <c r="N14" i="3"/>
  <c r="O14" i="3" s="1"/>
  <c r="M14" i="3"/>
  <c r="M15" i="3"/>
  <c r="L16" i="3"/>
  <c r="B16" i="4"/>
  <c r="B17" i="4"/>
  <c r="E16" i="4"/>
  <c r="E17" i="4"/>
  <c r="M12" i="3"/>
  <c r="L13" i="3"/>
  <c r="M16" i="3"/>
  <c r="L17" i="3"/>
  <c r="M13" i="3"/>
  <c r="L15" i="3"/>
  <c r="N15" i="3"/>
  <c r="O15" i="3" s="1"/>
  <c r="N12" i="3"/>
  <c r="O12" i="3" s="1"/>
  <c r="N13" i="3"/>
  <c r="O13" i="3" s="1"/>
  <c r="N6" i="3"/>
  <c r="O6" i="3" s="1"/>
  <c r="C18" i="3"/>
  <c r="C16" i="4"/>
  <c r="C17" i="4"/>
  <c r="D17" i="4"/>
  <c r="D16" i="4"/>
  <c r="G7" i="3"/>
  <c r="N16" i="3"/>
  <c r="O16" i="3" s="1"/>
  <c r="N17" i="3"/>
  <c r="O17" i="3" s="1"/>
  <c r="M11" i="3"/>
  <c r="B32" i="1"/>
  <c r="B31" i="1"/>
  <c r="A6" i="5"/>
  <c r="E10" i="5"/>
  <c r="L11" i="3" l="1"/>
  <c r="M8" i="3"/>
  <c r="M7" i="3"/>
  <c r="M9" i="3"/>
  <c r="M10" i="3"/>
  <c r="G18" i="3"/>
  <c r="M6" i="3"/>
  <c r="L7" i="3"/>
  <c r="L1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Björn-Olaf Lange</author>
  </authors>
  <commentList>
    <comment ref="B10" authorId="0" shapeId="0" xr:uid="{8E748899-556F-41F2-B933-1D150618B367}">
      <text>
        <r>
          <rPr>
            <b/>
            <sz val="9"/>
            <color indexed="81"/>
            <rFont val="Segoe UI"/>
            <family val="2"/>
          </rPr>
          <t>https://www.microsoft.com/licensing/guidance/Copilot-Credits</t>
        </r>
      </text>
    </comment>
  </commentList>
</comments>
</file>

<file path=xl/sharedStrings.xml><?xml version="1.0" encoding="utf-8"?>
<sst xmlns="http://schemas.openxmlformats.org/spreadsheetml/2006/main" count="224" uniqueCount="185">
  <si>
    <t>KI-Budgetmodell 2027</t>
  </si>
  <si>
    <t>Editierbares Hybridmodell aus Nutzerlizenzen, Copilot Credits, Plattform, Einführung und Governance.</t>
  </si>
  <si>
    <t>Zentrale Annahmen</t>
  </si>
  <si>
    <t>Planjahr</t>
  </si>
  <si>
    <t>Modellparameter</t>
  </si>
  <si>
    <t>Anzahl Mitarbeitende</t>
  </si>
  <si>
    <t>Unternehmensannahme</t>
  </si>
  <si>
    <t>Copilot-lizenzierte Nutzer</t>
  </si>
  <si>
    <t>Rollout-Annahme</t>
  </si>
  <si>
    <t>Lizenzpreis je Nutzer/Monat in EUR</t>
  </si>
  <si>
    <t>Platzhalter, Vertragsangebot einsetzen</t>
  </si>
  <si>
    <t>Copilot Credit Preis in USD</t>
  </si>
  <si>
    <t>USD/EUR Umrechnung</t>
  </si>
  <si>
    <t>Preissteigerung / Reserve auf Lizenzen</t>
  </si>
  <si>
    <t>Planungsannahme</t>
  </si>
  <si>
    <t>PAYG-Sicherheitsreserve</t>
  </si>
  <si>
    <t>Zentrale Plattformkosten pro Monat in EUR</t>
  </si>
  <si>
    <t>Azure, Daten, Monitoring, Integrationen</t>
  </si>
  <si>
    <t>Einführung &amp; Change einmalig in EUR</t>
  </si>
  <si>
    <t>Training, Kommunikation, Champions</t>
  </si>
  <si>
    <t>Governance &amp; Compliance einmalig in EUR</t>
  </si>
  <si>
    <t>Policies, Risiko, Datenschutz, Betriebsrat</t>
  </si>
  <si>
    <t>Interne Betriebs-FTE</t>
  </si>
  <si>
    <t>AI Product Owner, Admin, FinOps</t>
  </si>
  <si>
    <t>Vollkosten je Betriebs-FTE/Jahr in EUR</t>
  </si>
  <si>
    <t>Arbeitgebervollkosten</t>
  </si>
  <si>
    <t>Wert einer produktiven Stunde in EUR</t>
  </si>
  <si>
    <t>Interne Wirtschaftlichkeitsannahme</t>
  </si>
  <si>
    <t>Realisierungsquote der Zeitersparnis</t>
  </si>
  <si>
    <t>Nur wirtschaftlich realisierter Anteil</t>
  </si>
  <si>
    <t>Automatisch berechnete Eckwerte</t>
  </si>
  <si>
    <t>Credits in EUR</t>
  </si>
  <si>
    <t>Lizenzbudget/Jahr</t>
  </si>
  <si>
    <t>Plattformbudget/Jahr</t>
  </si>
  <si>
    <t>Betriebsbudget/Jahr</t>
  </si>
  <si>
    <t>Einmalkosten</t>
  </si>
  <si>
    <t>PAYG-Budget inkl. Reserve</t>
  </si>
  <si>
    <t>Gesamtbudget Basisfall</t>
  </si>
  <si>
    <t>Budget je Mitarbeitendem</t>
  </si>
  <si>
    <t>Lizenzquote</t>
  </si>
  <si>
    <t>Verbrauchsquote</t>
  </si>
  <si>
    <t>Use-Case-Portfolio und Verbrauch</t>
  </si>
  <si>
    <t>ID</t>
  </si>
  <si>
    <t>Bereich</t>
  </si>
  <si>
    <t>Use Case</t>
  </si>
  <si>
    <t>Typ</t>
  </si>
  <si>
    <t>Nutzer</t>
  </si>
  <si>
    <t>Vorgänge/Nutzer/Monat</t>
  </si>
  <si>
    <t>Credits/Vorgang</t>
  </si>
  <si>
    <t>Monate aktiv</t>
  </si>
  <si>
    <t>Adoption</t>
  </si>
  <si>
    <t>Credits/Jahr</t>
  </si>
  <si>
    <t>PAYG EUR/Jahr</t>
  </si>
  <si>
    <t>Std. gespart/Vorgang</t>
  </si>
  <si>
    <t>Bruttonutzen EUR</t>
  </si>
  <si>
    <t>Risikoabschlag</t>
  </si>
  <si>
    <t>Nettonutzen EUR</t>
  </si>
  <si>
    <t>Business Case</t>
  </si>
  <si>
    <t>Vertrieb</t>
  </si>
  <si>
    <t>Angebots- und Account-Recherche</t>
  </si>
  <si>
    <t>Assistenz</t>
  </si>
  <si>
    <t>Service</t>
  </si>
  <si>
    <t>Fallzusammenfassung und Antwortentwurf</t>
  </si>
  <si>
    <t>Operations</t>
  </si>
  <si>
    <t>Dokumentenprüfung und Datenerfassung</t>
  </si>
  <si>
    <t>Agent</t>
  </si>
  <si>
    <t>HR</t>
  </si>
  <si>
    <t>Onboarding-Agent</t>
  </si>
  <si>
    <t>IT</t>
  </si>
  <si>
    <t>Wissenssuche und Ticket-Triage</t>
  </si>
  <si>
    <t>Finance</t>
  </si>
  <si>
    <t>Monatsreport-Kommentierung</t>
  </si>
  <si>
    <t>Management</t>
  </si>
  <si>
    <t>Meeting- und Entscheidungsbriefings</t>
  </si>
  <si>
    <t>Portfolio gesamt</t>
  </si>
  <si>
    <t>Monatlicher Budget- und Forecastplan</t>
  </si>
  <si>
    <t>PAYG wird über eine Saisonalitätskurve verteilt, Plan und Ist können gegenübergestellt werden.</t>
  </si>
  <si>
    <t>Monat</t>
  </si>
  <si>
    <t>Lizenzplan</t>
  </si>
  <si>
    <t>PAYG-Plan</t>
  </si>
  <si>
    <t>Plattform</t>
  </si>
  <si>
    <t>Betrieb</t>
  </si>
  <si>
    <t>Gesamtplan</t>
  </si>
  <si>
    <t>PAYG-Ist</t>
  </si>
  <si>
    <t>Lizenz-Ist</t>
  </si>
  <si>
    <t>Sonstige Ist</t>
  </si>
  <si>
    <t>Gesamt-Ist</t>
  </si>
  <si>
    <t>Abweichung</t>
  </si>
  <si>
    <t>Forecast Gesamtjahr</t>
  </si>
  <si>
    <t>PAYG Budgetverbrauch</t>
  </si>
  <si>
    <t>Ampel</t>
  </si>
  <si>
    <t>Jan</t>
  </si>
  <si>
    <t>Feb</t>
  </si>
  <si>
    <t>Mrz</t>
  </si>
  <si>
    <t>Apr</t>
  </si>
  <si>
    <t>Mai</t>
  </si>
  <si>
    <t>Jun</t>
  </si>
  <si>
    <t>Jul</t>
  </si>
  <si>
    <t>Aug</t>
  </si>
  <si>
    <t>Sep</t>
  </si>
  <si>
    <t>Okt</t>
  </si>
  <si>
    <t>Nov</t>
  </si>
  <si>
    <t>Dez</t>
  </si>
  <si>
    <t>Gesamt</t>
  </si>
  <si>
    <t>Szenarioanalyse 2027</t>
  </si>
  <si>
    <t>Kennzahl</t>
  </si>
  <si>
    <t>Pilot</t>
  </si>
  <si>
    <t>Basis</t>
  </si>
  <si>
    <t>Skalierung</t>
  </si>
  <si>
    <t>Stress</t>
  </si>
  <si>
    <t>Einheit / Logik</t>
  </si>
  <si>
    <t>Lizenzierte Nutzer</t>
  </si>
  <si>
    <t>Lizenzkosten/Jahr</t>
  </si>
  <si>
    <t>PAYG/Jahr</t>
  </si>
  <si>
    <t>Plattform/Jahr</t>
  </si>
  <si>
    <t>Betrieb/Jahr</t>
  </si>
  <si>
    <t>Gesamtbudget</t>
  </si>
  <si>
    <t>Nettonutzen</t>
  </si>
  <si>
    <t>ROI</t>
  </si>
  <si>
    <t>Budget/Nutzer</t>
  </si>
  <si>
    <t>KI-Budget 2027 | Management Dashboard</t>
  </si>
  <si>
    <t>Überblick über Budget, Verbrauch und erwarteten wirtschaftlichen Nutzen.</t>
  </si>
  <si>
    <t>davon PAYG</t>
  </si>
  <si>
    <t>PAYG-Anteil</t>
  </si>
  <si>
    <t>Portfolio-ROI</t>
  </si>
  <si>
    <t>Quellen, Modellgrenzen und Anwendung</t>
  </si>
  <si>
    <t>Das Modell trennt bestätigte Produktlogik von frei änderbaren Planungsannahmen.</t>
  </si>
  <si>
    <t>Offizielle Quellen</t>
  </si>
  <si>
    <t>Microsoft Copilot Credits Licensing Guidance</t>
  </si>
  <si>
    <t>Microsoft Learn: Usage-Based Billing</t>
  </si>
  <si>
    <t>Wichtige Modellgrenzen</t>
  </si>
  <si>
    <t>1.</t>
  </si>
  <si>
    <t>Alle Nutzerzahlen, Lizenzpreise, Volumina, Stundenwerte, Wechselkurse und Einsparungen sind illustrative Startwerte und müssen durch Unternehmensdaten ersetzt werden.</t>
  </si>
  <si>
    <t>2.</t>
  </si>
  <si>
    <t>Das Modell erzeugt eine Budget- und Business-Case-Sicht, keine rechtsverbindliche Preisprognose. Microsoft weist darauf hin, dass Preise und Produktbedingungen geändert werden können.</t>
  </si>
  <si>
    <t>3.</t>
  </si>
  <si>
    <t>Zeitersparnis ist nicht automatisch zahlungswirksamer Nutzen. Dafür existiert die Realisierungsquote in der Steuerung.</t>
  </si>
  <si>
    <t>4.</t>
  </si>
  <si>
    <t>PAYG sollte mit Spending Policies, Kostenstellen, Verantwortlichen, monatlichem Forecast sowie Stop-/Review-Schwellen geführt werden.</t>
  </si>
  <si>
    <t>5.</t>
  </si>
  <si>
    <t>Lizenzen und Verbrauch sollten getrennt betrachtet werden, weil ein Seat allein keinen Rückschluss auf die tatsächliche Agentenlast zulässt.</t>
  </si>
  <si>
    <t>Empfohlener Budgetprozess</t>
  </si>
  <si>
    <t>Use Cases priorisieren und Owner benennen</t>
  </si>
  <si>
    <t>Lizenzbedarf je Rolle statt pauschal für alle bestimmen</t>
  </si>
  <si>
    <t>Verbrauch je Vorgang messen und monatlich forecasten</t>
  </si>
  <si>
    <t>Budgetgrenzen und Eskalationsschwellen verbindlich festlegen</t>
  </si>
  <si>
    <t>Nutzen nach 90 Tagen nachmessen und unrentable Use Cases stoppen oder anpassen</t>
  </si>
  <si>
    <t>Björn-Olaf Lange · www.langeatn.de · Version 1.0, Oktober 2026 · Lizenz CC BY 4.0</t>
  </si>
  <si>
    <t>Microsoft Copilot Credits Licensing Guide: Pay-as-you-go 0,01 USD je Credit (geprüft 16.10.2026)</t>
  </si>
  <si>
    <t>Planungsannahme, Budgetkurs von Finance einsetzen</t>
  </si>
  <si>
    <t>Abrechnung</t>
  </si>
  <si>
    <t>Credits</t>
  </si>
  <si>
    <t>Lizenz inklusive</t>
  </si>
  <si>
    <t>Cowork</t>
  </si>
  <si>
    <t>Alle Werte sind editierbare Planungsannahmen. Credits werden je Vorgang modelliert. Spalte Q legt fest, ob ein Use Case über Credits abgerechnet wird oder in der Lizenz enthalten ist.</t>
  </si>
  <si>
    <t>Hinweis zur Abrechnung (Stand 16.10.2026): Laut Microsoft ist die interaktive Nutzung von Agenten durch Mitarbeitende mit Microsoft 365 Copilot Lizenz unter ihrer eigenen Anmeldung in der Lizenz enthalten ("No charge"). Credits fallen vor allem bei Cowork (setzt eine Lizenz voraus und verbraucht trotzdem Credits), bei automatisch startenden Agenten und bei Nutzern ohne Lizenz an. Credits/Jahr zeigt in jeder Zeile den rechnerischen Verbrauch, Kosten entstehen nur bei Abrechnung "Credits". Quelle: Microsoft Learn, Copilot Studio Billing rates.</t>
  </si>
  <si>
    <t>Volumenfaktor</t>
  </si>
  <si>
    <t>Verbrauchsfaktor</t>
  </si>
  <si>
    <t>Anzahl bezahlter Seats</t>
  </si>
  <si>
    <t>Nutzer × Lizenzpreis × 12 × Lizenzreserve</t>
  </si>
  <si>
    <t>Mehr oder weniger Vorgänge: wirkt auf Credits und Nutzen</t>
  </si>
  <si>
    <t>Mehr Credits je Vorgang bei gleichem Nutzen: wirkt nur auf die Kosten</t>
  </si>
  <si>
    <t>PAYG-Budget × Volumenfaktor × Verbrauchsfaktor</t>
  </si>
  <si>
    <t>Nettonutzen Basis × Volumenfaktor</t>
  </si>
  <si>
    <t>(Nettonutzen − Gesamtbudget) / Gesamtbudget</t>
  </si>
  <si>
    <t>Vergleicht Nutzerzahl, Nutzungsvolumen und Verbrauch je Vorgang. Im Stress-Szenario steigen nur die Credits je Vorgang, der Nutzen bleibt gleich.</t>
  </si>
  <si>
    <t>Credits/Jahr (abgerechnet)</t>
  </si>
  <si>
    <t>Credits als gemeinsame Einheit, Verbrauch je nach Komplexität der Aufgabe, Bündelung auf Tenant-Ebene. Pay-as-you-go 0,01 USD je Credit. Preise in USD, Änderungen vorbehalten.</t>
  </si>
  <si>
    <t>Usage-based Billing ergänzt die feste Lizenz. Steuerung im Microsoft 365 Admin Center: Spending Policies, Limits für Organisation und Nutzer, Verbrauch nach Nutzer, Agent und Service.</t>
  </si>
  <si>
    <t>Microsoft Learn: Copilot Studio Billing rates</t>
  </si>
  <si>
    <t>Credits je Funktion, z. B. generative Antwort 2, Agentenaktion 5, Tenant-Graph-Grounding 10. Interaktive Nutzung durch Mitarbeitende mit Microsoft 365 Copilot Lizenz: No charge.</t>
  </si>
  <si>
    <t>Stand der Quellenprüfung</t>
  </si>
  <si>
    <t>16.10.2026, Björn-Olaf Lange</t>
  </si>
  <si>
    <t>Interaktive Nutzung von Agenten durch lizenzierte Mitarbeitende ist laut Microsoft in der Lizenz enthalten. Credits fallen vor allem bei Cowork, automatisch startenden Agenten und Nutzern ohne Lizenz an. Dafür gibt es die Spalte Abrechnung im Blatt Use Cases.</t>
  </si>
  <si>
    <t>Lizenz und Haftung</t>
  </si>
  <si>
    <t>Erstellt von Björn-Olaf Lange, www.langeatn.de. Lizenz: Creative Commons Namensnennung 4.0 International (CC BY 4.0), https://creativecommons.org/licenses/by/4.0/deed.de. Nutzung, Weitergabe und Veränderung sind erlaubt, auch in Unternehmen, solange der Name genannt wird.</t>
  </si>
  <si>
    <t>Arbeitsmodell ohne Gewähr: keine Preisprognose und keine Rechts-, Steuer- oder Lizenzberatung. Microsoft, Microsoft 365 und Copilot sind Marken der Microsoft Corporation, dieses Modell steht in keiner Verbindung zu Microsoft.</t>
  </si>
  <si>
    <t>6.</t>
  </si>
  <si>
    <t>microsoft.com/licensing (Copilot Credits)</t>
  </si>
  <si>
    <t>learn.microsoft.com (Usage-Based Billing)</t>
  </si>
  <si>
    <t>learn.microsoft.com (Copilot Studio)</t>
  </si>
  <si>
    <t>B.O.L. FRAMEWORKS</t>
  </si>
  <si>
    <t>EINGABE</t>
  </si>
  <si>
    <t>BERECHNUNG</t>
  </si>
  <si>
    <t>ERGEBNIS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</si>
</sst>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Red]\(#,##0.00\);\-"/>
    <numFmt numFmtId="166" formatCode="0.0%"/>
    <numFmt numFmtId="167" formatCode="0.0\x"/>
    <numFmt numFmtId="168" formatCode="0.0"/>
    <numFmt numFmtId="170" formatCode="#,##0\ [$€-407];[Red]\(#,##0\ [$€-407]\);\-"/>
    <numFmt numFmtId="171" formatCode="0.0000\ [$€-407]"/>
  </numFmts>
  <fonts count="23" x14ac:knownFonts="1">
    <font>
      <sz val="11"/>
      <color theme="1"/>
      <name val="Calibri"/>
      <family val="2"/>
      <scheme val="minor"/>
    </font>
    <font>
      <b/>
      <sz val="9"/>
      <color indexed="81"/>
      <name val="Segoe UI"/>
      <family val="2"/>
    </font>
    <font>
      <u/>
      <sz val="11"/>
      <color theme="10"/>
      <name val="Calibri"/>
      <family val="2"/>
      <scheme val="minor"/>
    </font>
    <font>
      <sz val="11"/>
      <color theme="1"/>
      <name val="Aptos"/>
      <family val="2"/>
    </font>
    <font>
      <b/>
      <sz val="11"/>
      <color rgb="FFFFFFFF"/>
      <name val="Aptos"/>
      <family val="2"/>
    </font>
    <font>
      <sz val="11"/>
      <color rgb="FF0000FF"/>
      <name val="Aptos"/>
      <family val="2"/>
    </font>
    <font>
      <sz val="11"/>
      <color rgb="FF000000"/>
      <name val="Aptos"/>
      <family val="2"/>
    </font>
    <font>
      <i/>
      <sz val="10"/>
      <color rgb="FF5B6675"/>
      <name val="Aptos"/>
      <family val="2"/>
    </font>
    <font>
      <i/>
      <sz val="9"/>
      <color rgb="FF5B6675"/>
      <name val="Aptos"/>
      <family val="2"/>
    </font>
    <font>
      <sz val="11"/>
      <color rgb="FF5B6675"/>
      <name val="Aptos"/>
      <family val="2"/>
    </font>
    <font>
      <sz val="9"/>
      <color theme="1"/>
      <name val="Aptos"/>
      <family val="2"/>
    </font>
    <font>
      <b/>
      <sz val="9"/>
      <color rgb="FFC9A227"/>
      <name val="Aptos"/>
      <family val="2"/>
    </font>
    <font>
      <sz val="8"/>
      <color rgb="FFF4F6F9"/>
      <name val="Aptos"/>
      <family val="2"/>
    </font>
    <font>
      <b/>
      <sz val="18"/>
      <color rgb="FF081120"/>
      <name val="Aptos Display"/>
      <family val="2"/>
    </font>
    <font>
      <b/>
      <sz val="8"/>
      <color rgb="FF0000FF"/>
      <name val="Aptos"/>
      <family val="2"/>
    </font>
    <font>
      <b/>
      <sz val="8"/>
      <color rgb="FF000000"/>
      <name val="Aptos"/>
      <family val="2"/>
    </font>
    <font>
      <b/>
      <sz val="8"/>
      <color rgb="FF081120"/>
      <name val="Aptos"/>
      <family val="2"/>
    </font>
    <font>
      <b/>
      <sz val="11"/>
      <color theme="1"/>
      <name val="Aptos"/>
      <family val="2"/>
    </font>
    <font>
      <b/>
      <sz val="11"/>
      <color rgb="FF000000"/>
      <name val="Aptos"/>
      <family val="2"/>
    </font>
    <font>
      <b/>
      <sz val="11"/>
      <name val="Aptos"/>
      <family val="2"/>
    </font>
    <font>
      <b/>
      <sz val="11"/>
      <color rgb="FF081120"/>
      <name val="Aptos"/>
      <family val="2"/>
    </font>
    <font>
      <b/>
      <sz val="18"/>
      <color rgb="FF081120"/>
      <name val="Aptos"/>
      <family val="2"/>
    </font>
    <font>
      <u/>
      <sz val="11"/>
      <color theme="10"/>
      <name val="Aptos"/>
      <family val="2"/>
    </font>
  </fonts>
  <fills count="5">
    <fill>
      <patternFill patternType="none"/>
    </fill>
    <fill>
      <patternFill patternType="gray125"/>
    </fill>
    <fill>
      <patternFill patternType="solid">
        <fgColor rgb="FF081120"/>
        <bgColor indexed="64"/>
      </patternFill>
    </fill>
    <fill>
      <patternFill patternType="solid">
        <fgColor rgb="FFF3E8C4"/>
        <bgColor indexed="64"/>
      </patternFill>
    </fill>
    <fill>
      <patternFill patternType="solid">
        <fgColor rgb="FFD8EAE6"/>
        <bgColor indexed="64"/>
      </patternFill>
    </fill>
  </fills>
  <borders count="2">
    <border>
      <left/>
      <right/>
      <top/>
      <bottom/>
      <diagonal/>
    </border>
    <border>
      <left/>
      <right/>
      <top style="thin">
        <color rgb="FFA6A6A6"/>
      </top>
      <bottom/>
      <diagonal/>
    </border>
  </borders>
  <cellStyleXfs count="2">
    <xf numFmtId="0" fontId="0" fillId="0" borderId="0"/>
    <xf numFmtId="0" fontId="2" fillId="0" borderId="0" applyNumberFormat="0" applyFill="0" applyBorder="0" applyAlignment="0" applyProtection="0"/>
  </cellStyleXfs>
  <cellXfs count="53">
    <xf numFmtId="0" fontId="0" fillId="0" borderId="0" xfId="0"/>
    <xf numFmtId="0" fontId="3" fillId="0" borderId="0" xfId="0" applyFont="1"/>
    <xf numFmtId="0" fontId="3" fillId="0" borderId="0" xfId="0" applyFont="1" applyAlignment="1">
      <alignment vertical="center"/>
    </xf>
    <xf numFmtId="166" fontId="6" fillId="0" borderId="0" xfId="0" applyNumberFormat="1" applyFont="1" applyAlignment="1">
      <alignment vertical="center"/>
    </xf>
    <xf numFmtId="0" fontId="7" fillId="0" borderId="0" xfId="0" applyFont="1" applyAlignment="1">
      <alignment vertical="center"/>
    </xf>
    <xf numFmtId="0" fontId="8" fillId="0" borderId="0" xfId="0" applyFont="1" applyAlignment="1">
      <alignment vertical="center"/>
    </xf>
    <xf numFmtId="0" fontId="4" fillId="2" borderId="0" xfId="0" applyFont="1" applyFill="1" applyAlignment="1">
      <alignment vertical="center"/>
    </xf>
    <xf numFmtId="1" fontId="5" fillId="3" borderId="0" xfId="0" applyNumberFormat="1" applyFont="1" applyFill="1" applyAlignment="1">
      <alignment vertical="center"/>
    </xf>
    <xf numFmtId="0" fontId="9" fillId="0" borderId="0" xfId="0" applyFont="1" applyAlignment="1">
      <alignment vertical="center"/>
    </xf>
    <xf numFmtId="3" fontId="5" fillId="3" borderId="0" xfId="0" applyNumberFormat="1" applyFont="1" applyFill="1" applyAlignment="1">
      <alignment vertical="center"/>
    </xf>
    <xf numFmtId="170" fontId="5" fillId="3" borderId="0" xfId="0" applyNumberFormat="1" applyFont="1" applyFill="1" applyAlignment="1">
      <alignment vertical="center"/>
    </xf>
    <xf numFmtId="164" fontId="5" fillId="3" borderId="0" xfId="0" applyNumberFormat="1" applyFont="1" applyFill="1" applyAlignment="1">
      <alignment vertical="center"/>
    </xf>
    <xf numFmtId="166" fontId="5" fillId="3" borderId="0" xfId="0" applyNumberFormat="1" applyFont="1" applyFill="1" applyAlignment="1">
      <alignment vertical="center"/>
    </xf>
    <xf numFmtId="168" fontId="5" fillId="3" borderId="0" xfId="0" applyNumberFormat="1" applyFont="1" applyFill="1" applyAlignment="1">
      <alignment vertical="center"/>
    </xf>
    <xf numFmtId="171" fontId="6" fillId="0" borderId="0" xfId="0" applyNumberFormat="1" applyFont="1" applyAlignment="1">
      <alignment vertical="center"/>
    </xf>
    <xf numFmtId="170" fontId="6" fillId="0" borderId="0" xfId="0" applyNumberFormat="1" applyFont="1" applyAlignment="1">
      <alignment vertical="center"/>
    </xf>
    <xf numFmtId="0" fontId="0" fillId="2" borderId="0" xfId="0" applyFill="1" applyAlignment="1">
      <alignment vertical="center"/>
    </xf>
    <xf numFmtId="0" fontId="11" fillId="2" borderId="0" xfId="0" applyFont="1" applyFill="1" applyAlignment="1">
      <alignment horizontal="left" vertical="center" indent="1"/>
    </xf>
    <xf numFmtId="0" fontId="12" fillId="2" borderId="0" xfId="0" applyFont="1" applyFill="1" applyAlignment="1">
      <alignment horizontal="right" vertical="center"/>
    </xf>
    <xf numFmtId="0" fontId="13" fillId="0" borderId="0" xfId="0" applyFont="1" applyFill="1" applyAlignment="1"/>
    <xf numFmtId="0" fontId="9" fillId="0" borderId="0" xfId="0" applyFont="1"/>
    <xf numFmtId="0" fontId="14" fillId="3" borderId="0" xfId="0" applyFont="1" applyFill="1" applyAlignment="1">
      <alignment horizontal="center" vertical="center"/>
    </xf>
    <xf numFmtId="0" fontId="15" fillId="0" borderId="0" xfId="0" applyFont="1" applyFill="1" applyAlignment="1">
      <alignment horizontal="center" vertical="center"/>
    </xf>
    <xf numFmtId="0" fontId="16" fillId="4" borderId="0" xfId="0" applyFont="1" applyFill="1" applyAlignment="1">
      <alignment horizontal="center" vertical="center"/>
    </xf>
    <xf numFmtId="0" fontId="17" fillId="4" borderId="0" xfId="0" applyFont="1" applyFill="1" applyAlignment="1">
      <alignment vertical="center"/>
    </xf>
    <xf numFmtId="170" fontId="18" fillId="4" borderId="0" xfId="0" applyNumberFormat="1" applyFont="1" applyFill="1" applyAlignment="1">
      <alignment vertical="center"/>
    </xf>
    <xf numFmtId="0" fontId="3" fillId="0" borderId="0" xfId="0" applyFont="1"/>
    <xf numFmtId="3" fontId="3" fillId="0" borderId="0" xfId="0" applyNumberFormat="1" applyFont="1" applyAlignment="1">
      <alignment vertical="center"/>
    </xf>
    <xf numFmtId="167" fontId="3" fillId="0" borderId="0" xfId="0" applyNumberFormat="1" applyFont="1" applyAlignment="1">
      <alignment horizontal="right" vertical="center"/>
    </xf>
    <xf numFmtId="0" fontId="19" fillId="0" borderId="1" xfId="0" applyFont="1" applyBorder="1" applyAlignment="1">
      <alignment vertical="center"/>
    </xf>
    <xf numFmtId="3" fontId="19" fillId="0" borderId="1" xfId="0" applyNumberFormat="1" applyFont="1" applyBorder="1" applyAlignment="1">
      <alignment vertical="center"/>
    </xf>
    <xf numFmtId="167" fontId="19" fillId="0" borderId="1" xfId="0" applyNumberFormat="1" applyFont="1" applyBorder="1" applyAlignment="1">
      <alignment vertical="center"/>
    </xf>
    <xf numFmtId="0" fontId="10"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vertical="center" wrapText="1"/>
    </xf>
    <xf numFmtId="0" fontId="5" fillId="3" borderId="0" xfId="0" applyFont="1" applyFill="1" applyAlignment="1">
      <alignment vertical="center"/>
    </xf>
    <xf numFmtId="170" fontId="3" fillId="0" borderId="0" xfId="0" applyNumberFormat="1" applyFont="1" applyAlignment="1">
      <alignment vertical="center"/>
    </xf>
    <xf numFmtId="49" fontId="5" fillId="3" borderId="0" xfId="0" applyNumberFormat="1" applyFont="1" applyFill="1" applyAlignment="1">
      <alignment vertical="center"/>
    </xf>
    <xf numFmtId="170" fontId="19" fillId="0" borderId="1" xfId="0" applyNumberFormat="1" applyFont="1" applyBorder="1" applyAlignment="1">
      <alignment vertical="center"/>
    </xf>
    <xf numFmtId="170" fontId="19" fillId="4" borderId="1" xfId="0" applyNumberFormat="1" applyFont="1" applyFill="1" applyBorder="1" applyAlignment="1">
      <alignment vertical="center"/>
    </xf>
    <xf numFmtId="166" fontId="3" fillId="0" borderId="0" xfId="0" applyNumberFormat="1" applyFont="1" applyAlignment="1">
      <alignment vertical="center"/>
    </xf>
    <xf numFmtId="0" fontId="3" fillId="0" borderId="0" xfId="0" applyFont="1" applyAlignment="1">
      <alignment horizontal="center" vertical="center"/>
    </xf>
    <xf numFmtId="0" fontId="4" fillId="2" borderId="0" xfId="0" applyFont="1" applyFill="1" applyAlignment="1">
      <alignment vertical="center"/>
    </xf>
    <xf numFmtId="170" fontId="17" fillId="4" borderId="0" xfId="0" applyNumberFormat="1" applyFont="1" applyFill="1" applyAlignment="1">
      <alignment vertical="center"/>
    </xf>
    <xf numFmtId="166" fontId="17" fillId="4" borderId="0" xfId="0" applyNumberFormat="1" applyFont="1" applyFill="1" applyAlignment="1">
      <alignment vertical="center"/>
    </xf>
    <xf numFmtId="0" fontId="20" fillId="4" borderId="0" xfId="0" applyFont="1" applyFill="1" applyAlignment="1">
      <alignment vertical="center"/>
    </xf>
    <xf numFmtId="170" fontId="21" fillId="0" borderId="0" xfId="0" applyNumberFormat="1" applyFont="1" applyAlignment="1">
      <alignment vertical="center"/>
    </xf>
    <xf numFmtId="166" fontId="21" fillId="0" borderId="0" xfId="0" applyNumberFormat="1" applyFont="1" applyAlignment="1">
      <alignment vertical="center"/>
    </xf>
    <xf numFmtId="3" fontId="21" fillId="0" borderId="0" xfId="0" applyNumberFormat="1" applyFont="1" applyAlignment="1">
      <alignment vertical="center"/>
    </xf>
    <xf numFmtId="0" fontId="3" fillId="0" borderId="0" xfId="0" applyFont="1" applyAlignment="1">
      <alignment vertical="top"/>
    </xf>
    <xf numFmtId="0" fontId="22" fillId="0" borderId="0" xfId="1" applyFont="1" applyAlignment="1">
      <alignment vertical="top"/>
    </xf>
    <xf numFmtId="0" fontId="3" fillId="0" borderId="0" xfId="0" applyFont="1" applyAlignment="1">
      <alignment vertical="center" wrapText="1"/>
    </xf>
    <xf numFmtId="49" fontId="3" fillId="0" borderId="0" xfId="0" applyNumberFormat="1" applyFont="1" applyAlignment="1">
      <alignment vertical="center"/>
    </xf>
  </cellXfs>
  <cellStyles count="2">
    <cellStyle name="Link" xfId="1" builtinId="8"/>
    <cellStyle name="Standard" xfId="0" builtinId="0"/>
  </cellStyles>
  <dxfs count="4">
    <dxf>
      <font>
        <b/>
        <i val="0"/>
        <color rgb="FFFFFFFF"/>
      </font>
      <fill>
        <patternFill>
          <bgColor rgb="FFA8564B"/>
        </patternFill>
      </fill>
    </dxf>
    <dxf>
      <font>
        <b/>
        <i val="0"/>
        <color rgb="FF081120"/>
      </font>
      <fill>
        <patternFill>
          <bgColor rgb="FFC9A227"/>
        </patternFill>
      </fill>
    </dxf>
    <dxf>
      <font>
        <b/>
        <i val="0"/>
        <color rgb="FFFFFFFF"/>
      </font>
      <fill>
        <patternFill>
          <bgColor rgb="FF24756B"/>
        </patternFill>
      </fill>
    </dxf>
    <dxf>
      <fill>
        <patternFill patternType="solid">
          <fgColor rgb="FFF4CCCC"/>
          <bgColor rgb="FFF2DCD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200" b="1">
                <a:solidFill>
                  <a:srgbClr val="081120"/>
                </a:solidFill>
                <a:latin typeface="Aptos"/>
                <a:ea typeface="Aptos"/>
                <a:cs typeface="Aptos"/>
              </a:defRPr>
            </a:pPr>
            <a:r>
              <a:rPr lang="de-DE"/>
              <a:t>Budget nach Szenario</a:t>
            </a:r>
          </a:p>
        </c:rich>
      </c:tx>
      <c:overlay val="0"/>
    </c:title>
    <c:autoTitleDeleted val="0"/>
    <c:plotArea>
      <c:layout/>
      <c:barChart>
        <c:barDir val="col"/>
        <c:grouping val="clustered"/>
        <c:varyColors val="1"/>
        <c:ser>
          <c:idx val="0"/>
          <c:order val="0"/>
          <c:spPr>
            <a:solidFill>
              <a:srgbClr val="081120"/>
            </a:solidFill>
            <a:ln>
              <a:prstDash val="solid"/>
            </a:ln>
          </c:spPr>
          <c:invertIfNegative val="1"/>
          <c:cat>
            <c:strRef>
              <c:f>Szenarien!$B$5:$E$5</c:f>
              <c:strCache>
                <c:ptCount val="4"/>
                <c:pt idx="0">
                  <c:v>Pilot</c:v>
                </c:pt>
                <c:pt idx="1">
                  <c:v>Basis</c:v>
                </c:pt>
                <c:pt idx="2">
                  <c:v>Skalierung</c:v>
                </c:pt>
                <c:pt idx="3">
                  <c:v>Stress</c:v>
                </c:pt>
              </c:strCache>
            </c:strRef>
          </c:cat>
          <c:val>
            <c:numRef>
              <c:f>Szenarien!$B$14:$E$14</c:f>
              <c:numCache>
                <c:formatCode>#,##0\ [$€-407];[Red]\(#,##0\ [$€-407]\);\-</c:formatCode>
                <c:ptCount val="4"/>
                <c:pt idx="0">
                  <c:v>292024.44959999999</c:v>
                </c:pt>
                <c:pt idx="1">
                  <c:v>321548.89919999999</c:v>
                </c:pt>
                <c:pt idx="2">
                  <c:v>367024.01856</c:v>
                </c:pt>
                <c:pt idx="3">
                  <c:v>369086.69759999996</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BB3F-41F4-A087-BC7C1F43A3D4}"/>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DCE2EA"/>
              </a:solidFill>
            </a:ln>
          </c:spPr>
        </c:majorGridlines>
        <c:numFmt formatCode="#,##0\ \€" sourceLinked="0"/>
        <c:majorTickMark val="none"/>
        <c:minorTickMark val="none"/>
        <c:tickLblPos val="nextTo"/>
        <c:crossAx val="10"/>
        <c:crosses val="autoZero"/>
        <c:crossBetween val="between"/>
      </c:valAx>
    </c:plotArea>
    <c:plotVisOnly val="1"/>
    <c:dispBlanksAs val="gap"/>
    <c:showDLblsOverMax val="1"/>
  </c:chart>
  <c:spPr>
    <a:ln>
      <a:solidFill>
        <a:srgbClr val="DCE2EA"/>
      </a:solidFill>
    </a:ln>
  </c:spPr>
  <c:txPr>
    <a:bodyPr/>
    <a:lstStyle/>
    <a:p>
      <a:pPr>
        <a:defRPr>
          <a:solidFill>
            <a:srgbClr val="5B6675"/>
          </a:solidFill>
          <a:latin typeface="Aptos"/>
          <a:ea typeface="Aptos"/>
          <a:cs typeface="Aptos"/>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200" b="1">
                <a:solidFill>
                  <a:srgbClr val="081120"/>
                </a:solidFill>
                <a:latin typeface="Aptos"/>
                <a:ea typeface="Aptos"/>
                <a:cs typeface="Aptos"/>
              </a:defRPr>
            </a:pPr>
            <a:r>
              <a:rPr lang="de-DE"/>
              <a:t>Monatlicher Gesamtplan</a:t>
            </a:r>
          </a:p>
        </c:rich>
      </c:tx>
      <c:overlay val="0"/>
    </c:title>
    <c:autoTitleDeleted val="0"/>
    <c:plotArea>
      <c:layout/>
      <c:lineChart>
        <c:grouping val="standard"/>
        <c:varyColors val="0"/>
        <c:ser>
          <c:idx val="0"/>
          <c:order val="0"/>
          <c:tx>
            <c:strRef>
              <c:f>Monatsbudget!$G$5</c:f>
              <c:strCache>
                <c:ptCount val="1"/>
                <c:pt idx="0">
                  <c:v>Gesamtplan</c:v>
                </c:pt>
              </c:strCache>
            </c:strRef>
          </c:tx>
          <c:spPr>
            <a:ln w="28575">
              <a:solidFill>
                <a:srgbClr val="24756B"/>
              </a:solidFill>
            </a:ln>
          </c:spPr>
          <c:marker>
            <c:symbol val="none"/>
          </c:marker>
          <c:cat>
            <c:strRef>
              <c:f>Monatsbudget!$A$6:$A$17</c:f>
              <c:strCache>
                <c:ptCount val="12"/>
                <c:pt idx="0">
                  <c:v>Jan</c:v>
                </c:pt>
                <c:pt idx="1">
                  <c:v>Feb</c:v>
                </c:pt>
                <c:pt idx="2">
                  <c:v>Mrz</c:v>
                </c:pt>
                <c:pt idx="3">
                  <c:v>Apr</c:v>
                </c:pt>
                <c:pt idx="4">
                  <c:v>Mai</c:v>
                </c:pt>
                <c:pt idx="5">
                  <c:v>Jun</c:v>
                </c:pt>
                <c:pt idx="6">
                  <c:v>Jul</c:v>
                </c:pt>
                <c:pt idx="7">
                  <c:v>Aug</c:v>
                </c:pt>
                <c:pt idx="8">
                  <c:v>Sep</c:v>
                </c:pt>
                <c:pt idx="9">
                  <c:v>Okt</c:v>
                </c:pt>
                <c:pt idx="10">
                  <c:v>Nov</c:v>
                </c:pt>
                <c:pt idx="11">
                  <c:v>Dez</c:v>
                </c:pt>
              </c:strCache>
            </c:strRef>
          </c:cat>
          <c:val>
            <c:numRef>
              <c:f>Monatsbudget!$G$6:$G$17</c:f>
              <c:numCache>
                <c:formatCode>#,##0\ [$€-407];[Red]\(#,##0\ [$€-407]\);\-</c:formatCode>
                <c:ptCount val="12"/>
                <c:pt idx="0">
                  <c:v>108741.133952</c:v>
                </c:pt>
                <c:pt idx="1">
                  <c:v>18741.133952</c:v>
                </c:pt>
                <c:pt idx="2">
                  <c:v>18978.822944</c:v>
                </c:pt>
                <c:pt idx="3">
                  <c:v>18978.822944</c:v>
                </c:pt>
                <c:pt idx="4">
                  <c:v>19216.511935999999</c:v>
                </c:pt>
                <c:pt idx="5">
                  <c:v>19216.511935999999</c:v>
                </c:pt>
                <c:pt idx="6">
                  <c:v>19216.511935999999</c:v>
                </c:pt>
                <c:pt idx="7">
                  <c:v>19454.200927999998</c:v>
                </c:pt>
                <c:pt idx="8">
                  <c:v>19691.889920000001</c:v>
                </c:pt>
                <c:pt idx="9">
                  <c:v>19691.889920000001</c:v>
                </c:pt>
                <c:pt idx="10">
                  <c:v>19691.889920000001</c:v>
                </c:pt>
                <c:pt idx="11">
                  <c:v>19929.578911999997</c:v>
                </c:pt>
              </c:numCache>
            </c:numRef>
          </c:val>
          <c:smooth val="0"/>
          <c:extLst>
            <c:ext xmlns:c16="http://schemas.microsoft.com/office/drawing/2014/chart" uri="{C3380CC4-5D6E-409C-BE32-E72D297353CC}">
              <c16:uniqueId val="{00000000-A46B-4DEE-96AB-752683FB509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DCE2EA"/>
              </a:solidFill>
            </a:ln>
          </c:spPr>
        </c:majorGridlines>
        <c:numFmt formatCode="#,##0\ &quot;€&quot;" sourceLinked="0"/>
        <c:majorTickMark val="none"/>
        <c:minorTickMark val="none"/>
        <c:tickLblPos val="nextTo"/>
        <c:crossAx val="10"/>
        <c:crosses val="autoZero"/>
        <c:crossBetween val="between"/>
      </c:valAx>
    </c:plotArea>
    <c:plotVisOnly val="1"/>
    <c:dispBlanksAs val="gap"/>
    <c:showDLblsOverMax val="1"/>
  </c:chart>
  <c:spPr>
    <a:ln>
      <a:solidFill>
        <a:srgbClr val="DCE2EA"/>
      </a:solidFill>
    </a:ln>
  </c:spPr>
  <c:txPr>
    <a:bodyPr/>
    <a:lstStyle/>
    <a:p>
      <a:pPr>
        <a:defRPr>
          <a:solidFill>
            <a:srgbClr val="5B6675"/>
          </a:solidFill>
          <a:latin typeface="Aptos"/>
          <a:ea typeface="Aptos"/>
          <a:cs typeface="Aptos"/>
        </a:defRPr>
      </a:pPr>
      <a:endParaRPr lang="de-DE"/>
    </a:p>
  </c:tx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13</xdr:row>
      <xdr:rowOff>0</xdr:rowOff>
    </xdr:from>
    <xdr:ext cx="5040000" cy="252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0</xdr:colOff>
      <xdr:row>13</xdr:row>
      <xdr:rowOff>0</xdr:rowOff>
    </xdr:from>
    <xdr:ext cx="5040000" cy="252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learn.microsoft.com/en-us/microsoft-copilot-studio/requirements-messages-management" TargetMode="External"/><Relationship Id="rId2" Type="http://schemas.openxmlformats.org/officeDocument/2006/relationships/hyperlink" Target="https://learn.microsoft.com/en-us/microsoft-365/copilot/usage-based-billing-overview-copilot-credits" TargetMode="External"/><Relationship Id="rId1" Type="http://schemas.openxmlformats.org/officeDocument/2006/relationships/hyperlink" Target="https://www.microsoft.com/licensing/guidance/Copilot-Credits" TargetMode="External"/><Relationship Id="rId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3"/>
  <sheetViews>
    <sheetView showGridLines="0" tabSelected="1" workbookViewId="0">
      <pane ySplit="4" topLeftCell="A5" activePane="bottomLeft" state="frozenSplit"/>
      <selection pane="bottomLeft"/>
    </sheetView>
  </sheetViews>
  <sheetFormatPr baseColWidth="10" defaultColWidth="9.140625" defaultRowHeight="15" x14ac:dyDescent="0.25"/>
  <cols>
    <col min="1" max="1" width="39.5703125" bestFit="1" customWidth="1"/>
    <col min="2" max="2" width="10" bestFit="1" customWidth="1"/>
    <col min="3" max="3" width="37.5703125" bestFit="1" customWidth="1"/>
  </cols>
  <sheetData>
    <row r="1" spans="1:8" ht="21" customHeight="1" x14ac:dyDescent="0.25">
      <c r="A1" s="17" t="s">
        <v>181</v>
      </c>
      <c r="B1" s="16"/>
      <c r="C1" s="16"/>
      <c r="D1" s="16"/>
      <c r="E1" s="16"/>
      <c r="F1" s="16"/>
      <c r="G1" s="16"/>
      <c r="H1" s="18" t="s">
        <v>147</v>
      </c>
    </row>
    <row r="2" spans="1:8" ht="30" customHeight="1" x14ac:dyDescent="0.4">
      <c r="A2" s="19" t="s">
        <v>0</v>
      </c>
      <c r="B2" s="19"/>
      <c r="C2" s="19"/>
      <c r="D2" s="19"/>
      <c r="E2" s="19"/>
      <c r="F2" s="19"/>
      <c r="G2" s="19"/>
      <c r="H2" s="19"/>
    </row>
    <row r="3" spans="1:8" x14ac:dyDescent="0.25">
      <c r="A3" s="4" t="s">
        <v>1</v>
      </c>
      <c r="B3" s="20"/>
      <c r="C3" s="20"/>
      <c r="D3" s="20"/>
      <c r="E3" s="20"/>
      <c r="F3" s="20"/>
      <c r="G3" s="20"/>
      <c r="H3" s="20"/>
    </row>
    <row r="4" spans="1:8" x14ac:dyDescent="0.25">
      <c r="A4" s="5"/>
      <c r="B4" s="21" t="s">
        <v>182</v>
      </c>
      <c r="C4" s="22" t="s">
        <v>183</v>
      </c>
      <c r="D4" s="23" t="s">
        <v>184</v>
      </c>
      <c r="E4" s="2"/>
      <c r="F4" s="2"/>
      <c r="G4" s="2"/>
      <c r="H4" s="2"/>
    </row>
    <row r="5" spans="1:8" x14ac:dyDescent="0.25">
      <c r="A5" s="6" t="s">
        <v>2</v>
      </c>
      <c r="B5" s="1"/>
      <c r="C5" s="1"/>
      <c r="D5" s="1"/>
      <c r="E5" s="1"/>
      <c r="F5" s="1"/>
      <c r="G5" s="1"/>
      <c r="H5" s="1"/>
    </row>
    <row r="6" spans="1:8" x14ac:dyDescent="0.25">
      <c r="A6" s="2" t="s">
        <v>3</v>
      </c>
      <c r="B6" s="7">
        <v>2027</v>
      </c>
      <c r="C6" s="8" t="s">
        <v>4</v>
      </c>
      <c r="D6" s="2"/>
      <c r="E6" s="2"/>
      <c r="F6" s="2"/>
      <c r="G6" s="2"/>
      <c r="H6" s="2"/>
    </row>
    <row r="7" spans="1:8" x14ac:dyDescent="0.25">
      <c r="A7" s="2" t="s">
        <v>5</v>
      </c>
      <c r="B7" s="9">
        <v>250</v>
      </c>
      <c r="C7" s="8" t="s">
        <v>6</v>
      </c>
      <c r="D7" s="2"/>
      <c r="E7" s="2"/>
      <c r="F7" s="2"/>
      <c r="G7" s="2"/>
      <c r="H7" s="2"/>
    </row>
    <row r="8" spans="1:8" x14ac:dyDescent="0.25">
      <c r="A8" s="2" t="s">
        <v>7</v>
      </c>
      <c r="B8" s="9">
        <v>100</v>
      </c>
      <c r="C8" s="8" t="s">
        <v>8</v>
      </c>
      <c r="D8" s="2"/>
      <c r="E8" s="2"/>
      <c r="F8" s="2"/>
      <c r="G8" s="2"/>
      <c r="H8" s="2"/>
    </row>
    <row r="9" spans="1:8" x14ac:dyDescent="0.25">
      <c r="A9" s="2" t="s">
        <v>9</v>
      </c>
      <c r="B9" s="10">
        <v>28</v>
      </c>
      <c r="C9" s="8" t="s">
        <v>10</v>
      </c>
      <c r="D9" s="2"/>
      <c r="E9" s="2"/>
      <c r="F9" s="2"/>
      <c r="G9" s="2"/>
      <c r="H9" s="2"/>
    </row>
    <row r="10" spans="1:8" x14ac:dyDescent="0.25">
      <c r="A10" s="2" t="s">
        <v>11</v>
      </c>
      <c r="B10" s="11">
        <v>0.01</v>
      </c>
      <c r="C10" s="8" t="s">
        <v>148</v>
      </c>
      <c r="D10" s="2"/>
      <c r="E10" s="2"/>
      <c r="F10" s="2"/>
      <c r="G10" s="2"/>
      <c r="H10" s="2"/>
    </row>
    <row r="11" spans="1:8" x14ac:dyDescent="0.25">
      <c r="A11" s="2" t="s">
        <v>12</v>
      </c>
      <c r="B11" s="11">
        <v>0.92</v>
      </c>
      <c r="C11" s="8" t="s">
        <v>149</v>
      </c>
      <c r="D11" s="2"/>
      <c r="E11" s="2"/>
      <c r="F11" s="2"/>
      <c r="G11" s="2"/>
      <c r="H11" s="2"/>
    </row>
    <row r="12" spans="1:8" x14ac:dyDescent="0.25">
      <c r="A12" s="2" t="s">
        <v>13</v>
      </c>
      <c r="B12" s="12">
        <v>0.05</v>
      </c>
      <c r="C12" s="8" t="s">
        <v>14</v>
      </c>
      <c r="D12" s="2"/>
      <c r="E12" s="2"/>
      <c r="F12" s="2"/>
      <c r="G12" s="2"/>
      <c r="H12" s="2"/>
    </row>
    <row r="13" spans="1:8" x14ac:dyDescent="0.25">
      <c r="A13" s="2" t="s">
        <v>15</v>
      </c>
      <c r="B13" s="12">
        <v>0.2</v>
      </c>
      <c r="C13" s="8" t="s">
        <v>14</v>
      </c>
      <c r="D13" s="2"/>
      <c r="E13" s="2"/>
      <c r="F13" s="2"/>
      <c r="G13" s="2"/>
      <c r="H13" s="2"/>
    </row>
    <row r="14" spans="1:8" x14ac:dyDescent="0.25">
      <c r="A14" s="2" t="s">
        <v>16</v>
      </c>
      <c r="B14" s="10">
        <v>2500</v>
      </c>
      <c r="C14" s="8" t="s">
        <v>17</v>
      </c>
      <c r="D14" s="2"/>
      <c r="E14" s="2"/>
      <c r="F14" s="2"/>
      <c r="G14" s="2"/>
      <c r="H14" s="2"/>
    </row>
    <row r="15" spans="1:8" x14ac:dyDescent="0.25">
      <c r="A15" s="2" t="s">
        <v>18</v>
      </c>
      <c r="B15" s="10">
        <v>60000</v>
      </c>
      <c r="C15" s="8" t="s">
        <v>19</v>
      </c>
      <c r="D15" s="2"/>
      <c r="E15" s="2"/>
      <c r="F15" s="2"/>
      <c r="G15" s="2"/>
      <c r="H15" s="2"/>
    </row>
    <row r="16" spans="1:8" x14ac:dyDescent="0.25">
      <c r="A16" s="2" t="s">
        <v>20</v>
      </c>
      <c r="B16" s="10">
        <v>30000</v>
      </c>
      <c r="C16" s="8" t="s">
        <v>21</v>
      </c>
      <c r="D16" s="2"/>
      <c r="E16" s="2"/>
      <c r="F16" s="2"/>
      <c r="G16" s="2"/>
      <c r="H16" s="2"/>
    </row>
    <row r="17" spans="1:8" x14ac:dyDescent="0.25">
      <c r="A17" s="2" t="s">
        <v>22</v>
      </c>
      <c r="B17" s="13">
        <v>1.5</v>
      </c>
      <c r="C17" s="8" t="s">
        <v>23</v>
      </c>
      <c r="D17" s="2"/>
      <c r="E17" s="2"/>
      <c r="F17" s="2"/>
      <c r="G17" s="2"/>
      <c r="H17" s="2"/>
    </row>
    <row r="18" spans="1:8" x14ac:dyDescent="0.25">
      <c r="A18" s="2" t="s">
        <v>24</v>
      </c>
      <c r="B18" s="10">
        <v>95000</v>
      </c>
      <c r="C18" s="8" t="s">
        <v>25</v>
      </c>
      <c r="D18" s="2"/>
      <c r="E18" s="2"/>
      <c r="F18" s="2"/>
      <c r="G18" s="2"/>
      <c r="H18" s="2"/>
    </row>
    <row r="19" spans="1:8" x14ac:dyDescent="0.25">
      <c r="A19" s="2" t="s">
        <v>26</v>
      </c>
      <c r="B19" s="10">
        <v>55</v>
      </c>
      <c r="C19" s="8" t="s">
        <v>27</v>
      </c>
      <c r="D19" s="2"/>
      <c r="E19" s="2"/>
      <c r="F19" s="2"/>
      <c r="G19" s="2"/>
      <c r="H19" s="2"/>
    </row>
    <row r="20" spans="1:8" x14ac:dyDescent="0.25">
      <c r="A20" s="2" t="s">
        <v>28</v>
      </c>
      <c r="B20" s="12">
        <v>0.35</v>
      </c>
      <c r="C20" s="8" t="s">
        <v>29</v>
      </c>
      <c r="D20" s="2"/>
      <c r="E20" s="2"/>
      <c r="F20" s="2"/>
      <c r="G20" s="2"/>
      <c r="H20" s="2"/>
    </row>
    <row r="21" spans="1:8" x14ac:dyDescent="0.25">
      <c r="A21" s="2"/>
      <c r="B21" s="2"/>
      <c r="C21" s="2"/>
      <c r="D21" s="2"/>
      <c r="E21" s="2"/>
      <c r="F21" s="2"/>
      <c r="G21" s="2"/>
      <c r="H21" s="2"/>
    </row>
    <row r="22" spans="1:8" x14ac:dyDescent="0.25">
      <c r="A22" s="2"/>
      <c r="B22" s="2"/>
      <c r="C22" s="2"/>
      <c r="D22" s="2"/>
      <c r="E22" s="2"/>
      <c r="F22" s="2"/>
      <c r="G22" s="2"/>
      <c r="H22" s="2"/>
    </row>
    <row r="23" spans="1:8" x14ac:dyDescent="0.25">
      <c r="A23" s="6" t="s">
        <v>30</v>
      </c>
      <c r="B23" s="1"/>
      <c r="C23" s="1"/>
      <c r="D23" s="1"/>
      <c r="E23" s="1"/>
      <c r="F23" s="1"/>
      <c r="G23" s="1"/>
      <c r="H23" s="1"/>
    </row>
    <row r="24" spans="1:8" x14ac:dyDescent="0.25">
      <c r="A24" s="2" t="s">
        <v>31</v>
      </c>
      <c r="B24" s="14">
        <f>B10*B11</f>
        <v>9.1999999999999998E-3</v>
      </c>
      <c r="C24" s="2"/>
      <c r="D24" s="2"/>
      <c r="E24" s="2"/>
      <c r="F24" s="2"/>
      <c r="G24" s="2"/>
      <c r="H24" s="2"/>
    </row>
    <row r="25" spans="1:8" x14ac:dyDescent="0.25">
      <c r="A25" s="2" t="s">
        <v>32</v>
      </c>
      <c r="B25" s="15">
        <f>B8*B9*12*(1+B12)</f>
        <v>35280</v>
      </c>
      <c r="C25" s="2"/>
      <c r="D25" s="2"/>
      <c r="E25" s="2"/>
      <c r="F25" s="2"/>
      <c r="G25" s="2"/>
      <c r="H25" s="2"/>
    </row>
    <row r="26" spans="1:8" x14ac:dyDescent="0.25">
      <c r="A26" s="2" t="s">
        <v>33</v>
      </c>
      <c r="B26" s="15">
        <f>B14*12</f>
        <v>30000</v>
      </c>
      <c r="C26" s="2"/>
      <c r="D26" s="2"/>
      <c r="E26" s="2"/>
      <c r="F26" s="2"/>
      <c r="G26" s="2"/>
      <c r="H26" s="2"/>
    </row>
    <row r="27" spans="1:8" x14ac:dyDescent="0.25">
      <c r="A27" s="2" t="s">
        <v>34</v>
      </c>
      <c r="B27" s="15">
        <f>B17*B18</f>
        <v>142500</v>
      </c>
      <c r="C27" s="2"/>
      <c r="D27" s="2"/>
      <c r="E27" s="2"/>
      <c r="F27" s="2"/>
      <c r="G27" s="2"/>
      <c r="H27" s="2"/>
    </row>
    <row r="28" spans="1:8" x14ac:dyDescent="0.25">
      <c r="A28" s="2" t="s">
        <v>35</v>
      </c>
      <c r="B28" s="15">
        <f>B15+B16</f>
        <v>90000</v>
      </c>
      <c r="C28" s="2"/>
      <c r="D28" s="2"/>
      <c r="E28" s="2"/>
      <c r="F28" s="2"/>
      <c r="G28" s="2"/>
      <c r="H28" s="2"/>
    </row>
    <row r="29" spans="1:8" x14ac:dyDescent="0.25">
      <c r="A29" s="2" t="s">
        <v>36</v>
      </c>
      <c r="B29" s="15">
        <f>'Use Cases'!K13*(1+B13)</f>
        <v>23768.899199999996</v>
      </c>
      <c r="C29" s="2"/>
      <c r="D29" s="2"/>
      <c r="E29" s="2"/>
      <c r="F29" s="2"/>
      <c r="G29" s="2"/>
      <c r="H29" s="2"/>
    </row>
    <row r="30" spans="1:8" x14ac:dyDescent="0.25">
      <c r="A30" s="24" t="s">
        <v>37</v>
      </c>
      <c r="B30" s="25">
        <f>SUM(B25:B29)</f>
        <v>321548.89919999999</v>
      </c>
      <c r="C30" s="2"/>
      <c r="D30" s="2"/>
      <c r="E30" s="2"/>
      <c r="F30" s="2"/>
      <c r="G30" s="2"/>
      <c r="H30" s="2"/>
    </row>
    <row r="31" spans="1:8" x14ac:dyDescent="0.25">
      <c r="A31" s="2" t="s">
        <v>38</v>
      </c>
      <c r="B31" s="15">
        <f>B30/B7</f>
        <v>1286.1955968</v>
      </c>
      <c r="C31" s="2"/>
      <c r="D31" s="2"/>
      <c r="E31" s="2"/>
      <c r="F31" s="2"/>
      <c r="G31" s="2"/>
      <c r="H31" s="2"/>
    </row>
    <row r="32" spans="1:8" x14ac:dyDescent="0.25">
      <c r="A32" s="2" t="s">
        <v>39</v>
      </c>
      <c r="B32" s="3">
        <f>B25/B30</f>
        <v>0.10971892638343698</v>
      </c>
      <c r="C32" s="2"/>
      <c r="D32" s="2"/>
      <c r="E32" s="2"/>
      <c r="F32" s="2"/>
      <c r="G32" s="2"/>
      <c r="H32" s="2"/>
    </row>
    <row r="33" spans="1:8" x14ac:dyDescent="0.25">
      <c r="A33" s="2" t="s">
        <v>40</v>
      </c>
      <c r="B33" s="3">
        <f>B29/B30</f>
        <v>7.392001421599019E-2</v>
      </c>
      <c r="C33" s="2"/>
      <c r="D33" s="2"/>
      <c r="E33" s="2"/>
      <c r="F33" s="2"/>
      <c r="G33" s="2"/>
      <c r="H33" s="2"/>
    </row>
  </sheetData>
  <mergeCells count="4">
    <mergeCell ref="A5:H5"/>
    <mergeCell ref="A3:H3"/>
    <mergeCell ref="A23:H23"/>
    <mergeCell ref="A2:H2"/>
  </mergeCells>
  <pageMargins left="0.75" right="0.75" top="1" bottom="1" header="0.5" footer="0.5"/>
  <pageSetup paperSize="9" scale="64" fitToHeight="0" orientation="portrait" r:id="rId1"/>
  <headerFooter>
    <oddFooter>&amp;L&amp;8Björn-Olaf Lange · www.langeatn.de · Version 1.0&amp;R&amp;8Seite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5"/>
  <sheetViews>
    <sheetView showGridLines="0" workbookViewId="0">
      <pane ySplit="5" topLeftCell="A6" activePane="bottomLeft" state="frozenSplit"/>
      <selection pane="bottomLeft"/>
    </sheetView>
  </sheetViews>
  <sheetFormatPr baseColWidth="10" defaultColWidth="9.140625" defaultRowHeight="15" x14ac:dyDescent="0.25"/>
  <cols>
    <col min="1" max="1" width="15.7109375" bestFit="1" customWidth="1"/>
    <col min="2" max="2" width="12.7109375" bestFit="1" customWidth="1"/>
    <col min="3" max="3" width="39.85546875" bestFit="1" customWidth="1"/>
    <col min="4" max="5" width="9.28515625" bestFit="1" customWidth="1"/>
    <col min="6" max="6" width="19.5703125" bestFit="1" customWidth="1"/>
    <col min="7" max="7" width="17.7109375" bestFit="1" customWidth="1"/>
    <col min="8" max="8" width="10.28515625" bestFit="1" customWidth="1"/>
    <col min="9" max="9" width="11.5703125" bestFit="1" customWidth="1"/>
    <col min="10" max="10" width="14" bestFit="1" customWidth="1"/>
    <col min="11" max="11" width="16.7109375" bestFit="1" customWidth="1"/>
    <col min="12" max="12" width="18" customWidth="1"/>
    <col min="13" max="13" width="19.140625" bestFit="1" customWidth="1"/>
    <col min="14" max="14" width="16.140625" bestFit="1" customWidth="1"/>
    <col min="15" max="15" width="18.7109375" bestFit="1" customWidth="1"/>
    <col min="16" max="16" width="15.5703125" bestFit="1" customWidth="1"/>
    <col min="17" max="17" width="18.7109375" customWidth="1"/>
  </cols>
  <sheetData>
    <row r="1" spans="1:17" ht="21" customHeight="1" x14ac:dyDescent="0.25">
      <c r="A1" s="17" t="s">
        <v>181</v>
      </c>
      <c r="B1" s="16"/>
      <c r="C1" s="16"/>
      <c r="D1" s="16"/>
      <c r="E1" s="16"/>
      <c r="F1" s="16"/>
      <c r="G1" s="16"/>
      <c r="H1" s="16"/>
      <c r="I1" s="16"/>
      <c r="J1" s="16"/>
      <c r="K1" s="16"/>
      <c r="L1" s="16"/>
      <c r="M1" s="16"/>
      <c r="N1" s="16"/>
      <c r="O1" s="16"/>
      <c r="P1" s="16"/>
      <c r="Q1" s="18" t="s">
        <v>147</v>
      </c>
    </row>
    <row r="2" spans="1:17" ht="30" customHeight="1" x14ac:dyDescent="0.4">
      <c r="A2" s="19" t="s">
        <v>41</v>
      </c>
      <c r="B2" s="19"/>
      <c r="C2" s="19"/>
      <c r="D2" s="19"/>
      <c r="E2" s="19"/>
      <c r="F2" s="19"/>
      <c r="G2" s="19"/>
      <c r="H2" s="19"/>
      <c r="I2" s="19"/>
      <c r="J2" s="19"/>
      <c r="K2" s="19"/>
      <c r="L2" s="19"/>
      <c r="M2" s="19"/>
      <c r="N2" s="19"/>
      <c r="O2" s="19"/>
      <c r="P2" s="19"/>
      <c r="Q2" s="19"/>
    </row>
    <row r="3" spans="1:17" x14ac:dyDescent="0.25">
      <c r="A3" s="4" t="s">
        <v>154</v>
      </c>
      <c r="B3" s="4"/>
      <c r="C3" s="4"/>
      <c r="D3" s="4"/>
      <c r="E3" s="4"/>
      <c r="F3" s="4"/>
      <c r="G3" s="4"/>
      <c r="H3" s="4"/>
      <c r="I3" s="4"/>
      <c r="J3" s="4"/>
      <c r="K3" s="4"/>
      <c r="L3" s="4"/>
      <c r="M3" s="4"/>
      <c r="N3" s="4"/>
      <c r="O3" s="4"/>
      <c r="P3" s="4"/>
      <c r="Q3" s="4"/>
    </row>
    <row r="4" spans="1:17" x14ac:dyDescent="0.25">
      <c r="A4" s="2"/>
      <c r="B4" s="21" t="s">
        <v>182</v>
      </c>
      <c r="C4" s="22" t="s">
        <v>183</v>
      </c>
      <c r="D4" s="23" t="s">
        <v>184</v>
      </c>
      <c r="E4" s="2"/>
      <c r="F4" s="2"/>
      <c r="G4" s="2"/>
      <c r="H4" s="2"/>
      <c r="I4" s="2"/>
      <c r="J4" s="2"/>
      <c r="K4" s="2"/>
      <c r="L4" s="2"/>
      <c r="M4" s="2"/>
      <c r="N4" s="2"/>
      <c r="O4" s="2"/>
      <c r="P4" s="2"/>
      <c r="Q4" s="26"/>
    </row>
    <row r="5" spans="1:17" ht="30" x14ac:dyDescent="0.25">
      <c r="A5" s="34" t="s">
        <v>42</v>
      </c>
      <c r="B5" s="34" t="s">
        <v>43</v>
      </c>
      <c r="C5" s="34" t="s">
        <v>44</v>
      </c>
      <c r="D5" s="34" t="s">
        <v>45</v>
      </c>
      <c r="E5" s="34" t="s">
        <v>46</v>
      </c>
      <c r="F5" s="34" t="s">
        <v>47</v>
      </c>
      <c r="G5" s="34" t="s">
        <v>48</v>
      </c>
      <c r="H5" s="34" t="s">
        <v>49</v>
      </c>
      <c r="I5" s="34" t="s">
        <v>50</v>
      </c>
      <c r="J5" s="34" t="s">
        <v>51</v>
      </c>
      <c r="K5" s="34" t="s">
        <v>52</v>
      </c>
      <c r="L5" s="34" t="s">
        <v>53</v>
      </c>
      <c r="M5" s="34" t="s">
        <v>54</v>
      </c>
      <c r="N5" s="34" t="s">
        <v>55</v>
      </c>
      <c r="O5" s="34" t="s">
        <v>56</v>
      </c>
      <c r="P5" s="34" t="s">
        <v>57</v>
      </c>
      <c r="Q5" s="34" t="s">
        <v>150</v>
      </c>
    </row>
    <row r="6" spans="1:17" x14ac:dyDescent="0.25">
      <c r="A6" s="2">
        <v>1</v>
      </c>
      <c r="B6" s="2" t="s">
        <v>58</v>
      </c>
      <c r="C6" s="2" t="s">
        <v>59</v>
      </c>
      <c r="D6" s="2" t="s">
        <v>153</v>
      </c>
      <c r="E6" s="35">
        <v>35</v>
      </c>
      <c r="F6" s="35">
        <v>18</v>
      </c>
      <c r="G6" s="35">
        <v>35</v>
      </c>
      <c r="H6" s="35">
        <v>12</v>
      </c>
      <c r="I6" s="12">
        <v>0.7</v>
      </c>
      <c r="J6" s="27">
        <f t="shared" ref="J6:J12" si="0">E6*F6*G6*H6*I6</f>
        <v>185220</v>
      </c>
      <c r="K6" s="36">
        <f>IF($Q6="Lizenz inklusive",0,J6*Steuerung!$B$24)</f>
        <v>1704.0239999999999</v>
      </c>
      <c r="L6" s="35">
        <v>0.2</v>
      </c>
      <c r="M6" s="36">
        <f>E6*F6*H6*I6*L6*Steuerung!$B$19</f>
        <v>58212.000000000007</v>
      </c>
      <c r="N6" s="12">
        <v>0.1</v>
      </c>
      <c r="O6" s="36">
        <f>M6*(1-N6)*Steuerung!$B$20</f>
        <v>18336.780000000002</v>
      </c>
      <c r="P6" s="28">
        <f t="shared" ref="P6:P12" si="1">IF(K6=0,"in Lizenz",O6/K6)</f>
        <v>10.760869565217394</v>
      </c>
      <c r="Q6" s="37" t="s">
        <v>151</v>
      </c>
    </row>
    <row r="7" spans="1:17" x14ac:dyDescent="0.25">
      <c r="A7" s="2">
        <v>2</v>
      </c>
      <c r="B7" s="2" t="s">
        <v>61</v>
      </c>
      <c r="C7" s="2" t="s">
        <v>62</v>
      </c>
      <c r="D7" s="2" t="s">
        <v>60</v>
      </c>
      <c r="E7" s="35">
        <v>45</v>
      </c>
      <c r="F7" s="35">
        <v>70</v>
      </c>
      <c r="G7" s="35">
        <v>18</v>
      </c>
      <c r="H7" s="35">
        <v>12</v>
      </c>
      <c r="I7" s="12">
        <v>0.75</v>
      </c>
      <c r="J7" s="27">
        <f t="shared" si="0"/>
        <v>510300</v>
      </c>
      <c r="K7" s="36">
        <f>IF($Q7="Lizenz inklusive",0,J7*Steuerung!$B$24)</f>
        <v>0</v>
      </c>
      <c r="L7" s="35">
        <v>0.1</v>
      </c>
      <c r="M7" s="36">
        <f>E7*F7*H7*I7*L7*Steuerung!$B$19</f>
        <v>155925</v>
      </c>
      <c r="N7" s="12">
        <v>0.08</v>
      </c>
      <c r="O7" s="36">
        <f>M7*(1-N7)*Steuerung!$B$20</f>
        <v>50207.85</v>
      </c>
      <c r="P7" s="28" t="str">
        <f t="shared" si="1"/>
        <v>in Lizenz</v>
      </c>
      <c r="Q7" s="37" t="s">
        <v>152</v>
      </c>
    </row>
    <row r="8" spans="1:17" x14ac:dyDescent="0.25">
      <c r="A8" s="2">
        <v>3</v>
      </c>
      <c r="B8" s="2" t="s">
        <v>63</v>
      </c>
      <c r="C8" s="2" t="s">
        <v>64</v>
      </c>
      <c r="D8" s="2" t="s">
        <v>65</v>
      </c>
      <c r="E8" s="35">
        <v>20</v>
      </c>
      <c r="F8" s="35">
        <v>120</v>
      </c>
      <c r="G8" s="35">
        <v>75</v>
      </c>
      <c r="H8" s="35">
        <v>10</v>
      </c>
      <c r="I8" s="12">
        <v>0.6</v>
      </c>
      <c r="J8" s="27">
        <f t="shared" si="0"/>
        <v>1080000</v>
      </c>
      <c r="K8" s="36">
        <f>IF($Q8="Lizenz inklusive",0,J8*Steuerung!$B$24)</f>
        <v>9936</v>
      </c>
      <c r="L8" s="35">
        <v>0.18</v>
      </c>
      <c r="M8" s="36">
        <f>E8*F8*H8*I8*L8*Steuerung!$B$19</f>
        <v>142560</v>
      </c>
      <c r="N8" s="12">
        <v>0.15</v>
      </c>
      <c r="O8" s="36">
        <f>M8*(1-N8)*Steuerung!$B$20</f>
        <v>42411.6</v>
      </c>
      <c r="P8" s="28">
        <f t="shared" si="1"/>
        <v>4.2684782608695651</v>
      </c>
      <c r="Q8" s="37" t="s">
        <v>151</v>
      </c>
    </row>
    <row r="9" spans="1:17" x14ac:dyDescent="0.25">
      <c r="A9" s="2">
        <v>4</v>
      </c>
      <c r="B9" s="2" t="s">
        <v>66</v>
      </c>
      <c r="C9" s="2" t="s">
        <v>67</v>
      </c>
      <c r="D9" s="2" t="s">
        <v>65</v>
      </c>
      <c r="E9" s="35">
        <v>8</v>
      </c>
      <c r="F9" s="35">
        <v>30</v>
      </c>
      <c r="G9" s="35">
        <v>120</v>
      </c>
      <c r="H9" s="35">
        <v>9</v>
      </c>
      <c r="I9" s="12">
        <v>0.5</v>
      </c>
      <c r="J9" s="27">
        <f t="shared" si="0"/>
        <v>129600</v>
      </c>
      <c r="K9" s="36">
        <f>IF($Q9="Lizenz inklusive",0,J9*Steuerung!$B$24)</f>
        <v>1192.32</v>
      </c>
      <c r="L9" s="35">
        <v>0.35</v>
      </c>
      <c r="M9" s="36">
        <f>E9*F9*H9*I9*L9*Steuerung!$B$19</f>
        <v>20790</v>
      </c>
      <c r="N9" s="12">
        <v>0.2</v>
      </c>
      <c r="O9" s="36">
        <f>M9*(1-N9)*Steuerung!$B$20</f>
        <v>5821.2</v>
      </c>
      <c r="P9" s="28">
        <f t="shared" si="1"/>
        <v>4.8822463768115947</v>
      </c>
      <c r="Q9" s="37" t="s">
        <v>151</v>
      </c>
    </row>
    <row r="10" spans="1:17" x14ac:dyDescent="0.25">
      <c r="A10" s="2">
        <v>5</v>
      </c>
      <c r="B10" s="2" t="s">
        <v>68</v>
      </c>
      <c r="C10" s="2" t="s">
        <v>69</v>
      </c>
      <c r="D10" s="2" t="s">
        <v>65</v>
      </c>
      <c r="E10" s="35">
        <v>18</v>
      </c>
      <c r="F10" s="35">
        <v>90</v>
      </c>
      <c r="G10" s="35">
        <v>60</v>
      </c>
      <c r="H10" s="35">
        <v>12</v>
      </c>
      <c r="I10" s="12">
        <v>0.65</v>
      </c>
      <c r="J10" s="27">
        <f t="shared" si="0"/>
        <v>758160</v>
      </c>
      <c r="K10" s="36">
        <f>IF($Q10="Lizenz inklusive",0,J10*Steuerung!$B$24)</f>
        <v>6975.0720000000001</v>
      </c>
      <c r="L10" s="35">
        <v>0.15</v>
      </c>
      <c r="M10" s="36">
        <f>E10*F10*H10*I10*L10*Steuerung!$B$19</f>
        <v>104246.99999999999</v>
      </c>
      <c r="N10" s="12">
        <v>0.15</v>
      </c>
      <c r="O10" s="36">
        <f>M10*(1-N10)*Steuerung!$B$20</f>
        <v>31013.482499999991</v>
      </c>
      <c r="P10" s="28">
        <f t="shared" si="1"/>
        <v>4.446331521739129</v>
      </c>
      <c r="Q10" s="37" t="s">
        <v>151</v>
      </c>
    </row>
    <row r="11" spans="1:17" x14ac:dyDescent="0.25">
      <c r="A11" s="2">
        <v>6</v>
      </c>
      <c r="B11" s="2" t="s">
        <v>70</v>
      </c>
      <c r="C11" s="2" t="s">
        <v>71</v>
      </c>
      <c r="D11" s="2" t="s">
        <v>60</v>
      </c>
      <c r="E11" s="35">
        <v>10</v>
      </c>
      <c r="F11" s="35">
        <v>12</v>
      </c>
      <c r="G11" s="35">
        <v>40</v>
      </c>
      <c r="H11" s="35">
        <v>12</v>
      </c>
      <c r="I11" s="12">
        <v>0.8</v>
      </c>
      <c r="J11" s="27">
        <f t="shared" si="0"/>
        <v>46080</v>
      </c>
      <c r="K11" s="36">
        <f>IF($Q11="Lizenz inklusive",0,J11*Steuerung!$B$24)</f>
        <v>0</v>
      </c>
      <c r="L11" s="35">
        <v>0.5</v>
      </c>
      <c r="M11" s="36">
        <f>E11*F11*H11*I11*L11*Steuerung!$B$19</f>
        <v>31680</v>
      </c>
      <c r="N11" s="12">
        <v>0.1</v>
      </c>
      <c r="O11" s="36">
        <f>M11*(1-N11)*Steuerung!$B$20</f>
        <v>9979.1999999999989</v>
      </c>
      <c r="P11" s="28" t="str">
        <f t="shared" si="1"/>
        <v>in Lizenz</v>
      </c>
      <c r="Q11" s="37" t="s">
        <v>152</v>
      </c>
    </row>
    <row r="12" spans="1:17" x14ac:dyDescent="0.25">
      <c r="A12" s="2">
        <v>7</v>
      </c>
      <c r="B12" s="2" t="s">
        <v>72</v>
      </c>
      <c r="C12" s="2" t="s">
        <v>73</v>
      </c>
      <c r="D12" s="2" t="s">
        <v>60</v>
      </c>
      <c r="E12" s="35">
        <v>25</v>
      </c>
      <c r="F12" s="35">
        <v>20</v>
      </c>
      <c r="G12" s="35">
        <v>30</v>
      </c>
      <c r="H12" s="35">
        <v>12</v>
      </c>
      <c r="I12" s="12">
        <v>0.7</v>
      </c>
      <c r="J12" s="27">
        <f t="shared" si="0"/>
        <v>125999.99999999999</v>
      </c>
      <c r="K12" s="36">
        <f>IF($Q12="Lizenz inklusive",0,J12*Steuerung!$B$24)</f>
        <v>0</v>
      </c>
      <c r="L12" s="35">
        <v>0.25</v>
      </c>
      <c r="M12" s="36">
        <f>E12*F12*H12*I12*L12*Steuerung!$B$19</f>
        <v>57750</v>
      </c>
      <c r="N12" s="12">
        <v>0.1</v>
      </c>
      <c r="O12" s="36">
        <f>M12*(1-N12)*Steuerung!$B$20</f>
        <v>18191.25</v>
      </c>
      <c r="P12" s="28" t="str">
        <f t="shared" si="1"/>
        <v>in Lizenz</v>
      </c>
      <c r="Q12" s="37" t="s">
        <v>152</v>
      </c>
    </row>
    <row r="13" spans="1:17" x14ac:dyDescent="0.25">
      <c r="A13" s="29" t="s">
        <v>74</v>
      </c>
      <c r="B13" s="29"/>
      <c r="C13" s="29"/>
      <c r="D13" s="29"/>
      <c r="E13" s="29"/>
      <c r="F13" s="29"/>
      <c r="G13" s="29"/>
      <c r="H13" s="29"/>
      <c r="I13" s="29"/>
      <c r="J13" s="30">
        <f>SUM(J6:J12)</f>
        <v>2835360</v>
      </c>
      <c r="K13" s="39">
        <f>SUM(K6:K12)</f>
        <v>19807.415999999997</v>
      </c>
      <c r="L13" s="29"/>
      <c r="M13" s="38">
        <f>SUM(M6:M12)</f>
        <v>571164</v>
      </c>
      <c r="N13" s="29"/>
      <c r="O13" s="39">
        <f>SUM(O6:O12)</f>
        <v>175961.36250000002</v>
      </c>
      <c r="P13" s="31">
        <f>IF(K13=0,0,SUMIF(Q6:Q12,"Credits",O6:O12)/K13)</f>
        <v>4.9265922672598998</v>
      </c>
      <c r="Q13" s="26"/>
    </row>
    <row r="14" spans="1:17" x14ac:dyDescent="0.25">
      <c r="A14" s="26"/>
      <c r="B14" s="26"/>
      <c r="C14" s="26"/>
      <c r="D14" s="26"/>
      <c r="E14" s="26"/>
      <c r="F14" s="26"/>
      <c r="G14" s="26"/>
      <c r="H14" s="26"/>
      <c r="I14" s="26"/>
      <c r="J14" s="26"/>
      <c r="K14" s="26"/>
      <c r="L14" s="26"/>
      <c r="M14" s="26"/>
      <c r="N14" s="26"/>
      <c r="O14" s="26"/>
      <c r="P14" s="26"/>
      <c r="Q14" s="26"/>
    </row>
    <row r="15" spans="1:17" ht="39.950000000000003" customHeight="1" x14ac:dyDescent="0.25">
      <c r="A15" s="32" t="s">
        <v>155</v>
      </c>
      <c r="B15" s="33"/>
      <c r="C15" s="33"/>
      <c r="D15" s="33"/>
      <c r="E15" s="33"/>
      <c r="F15" s="33"/>
      <c r="G15" s="33"/>
      <c r="H15" s="33"/>
      <c r="I15" s="33"/>
      <c r="J15" s="33"/>
      <c r="K15" s="33"/>
      <c r="L15" s="33"/>
      <c r="M15" s="33"/>
      <c r="N15" s="33"/>
      <c r="O15" s="33"/>
      <c r="P15" s="33"/>
      <c r="Q15" s="33"/>
    </row>
  </sheetData>
  <autoFilter ref="A5:P12" xr:uid="{00000000-0009-0000-0000-000001000000}"/>
  <mergeCells count="3">
    <mergeCell ref="A2:Q2"/>
    <mergeCell ref="A3:Q3"/>
    <mergeCell ref="A15:Q15"/>
  </mergeCells>
  <dataValidations count="1">
    <dataValidation type="list" allowBlank="1" showInputMessage="1" showErrorMessage="1" sqref="Q6:Q12" xr:uid="{90960BEA-93BA-4DE1-9277-76D614554425}">
      <formula1>"Credits,Lizenz inklusive"</formula1>
    </dataValidation>
  </dataValidations>
  <pageMargins left="0.75" right="0.75" top="1" bottom="1" header="0.5" footer="0.5"/>
  <pageSetup paperSize="9" scale="45" fitToHeight="0" orientation="landscape" r:id="rId1"/>
  <headerFooter>
    <oddFooter>&amp;L&amp;8Björn-Olaf Lange · www.langeatn.de · Version 1.0&amp;R&amp;8Seite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8"/>
  <sheetViews>
    <sheetView showGridLines="0" workbookViewId="0">
      <pane ySplit="5" topLeftCell="A6" activePane="bottomLeft" state="frozenSplit"/>
      <selection pane="bottomLeft"/>
    </sheetView>
  </sheetViews>
  <sheetFormatPr baseColWidth="10" defaultColWidth="9.140625" defaultRowHeight="15" x14ac:dyDescent="0.25"/>
  <cols>
    <col min="1" max="1" width="10" customWidth="1"/>
    <col min="2" max="5" width="14" customWidth="1"/>
    <col min="6" max="7" width="15" customWidth="1"/>
    <col min="8" max="12" width="14" customWidth="1"/>
    <col min="13" max="13" width="17" customWidth="1"/>
    <col min="14" max="14" width="18" customWidth="1"/>
    <col min="15" max="15" width="11" customWidth="1"/>
  </cols>
  <sheetData>
    <row r="1" spans="1:15" ht="21" customHeight="1" x14ac:dyDescent="0.25">
      <c r="A1" s="17" t="s">
        <v>181</v>
      </c>
      <c r="B1" s="16"/>
      <c r="C1" s="16"/>
      <c r="D1" s="16"/>
      <c r="E1" s="16"/>
      <c r="F1" s="16"/>
      <c r="G1" s="16"/>
      <c r="H1" s="16"/>
      <c r="I1" s="16"/>
      <c r="J1" s="16"/>
      <c r="K1" s="16"/>
      <c r="L1" s="16"/>
      <c r="M1" s="16"/>
      <c r="N1" s="16"/>
      <c r="O1" s="18" t="s">
        <v>147</v>
      </c>
    </row>
    <row r="2" spans="1:15" ht="30" customHeight="1" x14ac:dyDescent="0.4">
      <c r="A2" s="19" t="s">
        <v>75</v>
      </c>
      <c r="B2" s="19"/>
      <c r="C2" s="19"/>
      <c r="D2" s="19"/>
      <c r="E2" s="19"/>
      <c r="F2" s="19"/>
      <c r="G2" s="19"/>
      <c r="H2" s="19"/>
      <c r="I2" s="19"/>
      <c r="J2" s="19"/>
      <c r="K2" s="19"/>
      <c r="L2" s="19"/>
      <c r="M2" s="19"/>
      <c r="N2" s="19"/>
      <c r="O2" s="19"/>
    </row>
    <row r="3" spans="1:15" x14ac:dyDescent="0.25">
      <c r="A3" s="4" t="s">
        <v>76</v>
      </c>
      <c r="B3" s="20"/>
      <c r="C3" s="20"/>
      <c r="D3" s="20"/>
      <c r="E3" s="20"/>
      <c r="F3" s="20"/>
      <c r="G3" s="20"/>
      <c r="H3" s="20"/>
      <c r="I3" s="20"/>
      <c r="J3" s="20"/>
      <c r="K3" s="20"/>
      <c r="L3" s="20"/>
      <c r="M3" s="20"/>
      <c r="N3" s="20"/>
      <c r="O3" s="20"/>
    </row>
    <row r="4" spans="1:15" x14ac:dyDescent="0.25">
      <c r="A4" s="2"/>
      <c r="B4" s="21" t="s">
        <v>182</v>
      </c>
      <c r="C4" s="22" t="s">
        <v>183</v>
      </c>
      <c r="D4" s="23" t="s">
        <v>184</v>
      </c>
      <c r="E4" s="2"/>
      <c r="F4" s="2"/>
      <c r="G4" s="2"/>
      <c r="H4" s="2"/>
      <c r="I4" s="2"/>
      <c r="J4" s="2"/>
      <c r="K4" s="2"/>
      <c r="L4" s="2"/>
      <c r="M4" s="2"/>
      <c r="N4" s="2"/>
      <c r="O4" s="2"/>
    </row>
    <row r="5" spans="1:15" ht="30" x14ac:dyDescent="0.25">
      <c r="A5" s="34" t="s">
        <v>77</v>
      </c>
      <c r="B5" s="34" t="s">
        <v>78</v>
      </c>
      <c r="C5" s="34" t="s">
        <v>79</v>
      </c>
      <c r="D5" s="34" t="s">
        <v>80</v>
      </c>
      <c r="E5" s="34" t="s">
        <v>81</v>
      </c>
      <c r="F5" s="34" t="s">
        <v>35</v>
      </c>
      <c r="G5" s="34" t="s">
        <v>82</v>
      </c>
      <c r="H5" s="34" t="s">
        <v>83</v>
      </c>
      <c r="I5" s="34" t="s">
        <v>84</v>
      </c>
      <c r="J5" s="34" t="s">
        <v>85</v>
      </c>
      <c r="K5" s="34" t="s">
        <v>86</v>
      </c>
      <c r="L5" s="34" t="s">
        <v>87</v>
      </c>
      <c r="M5" s="34" t="s">
        <v>88</v>
      </c>
      <c r="N5" s="34" t="s">
        <v>89</v>
      </c>
      <c r="O5" s="34" t="s">
        <v>90</v>
      </c>
    </row>
    <row r="6" spans="1:15" x14ac:dyDescent="0.25">
      <c r="A6" s="2" t="s">
        <v>91</v>
      </c>
      <c r="B6" s="36">
        <f>Steuerung!$B$25/12</f>
        <v>2940</v>
      </c>
      <c r="C6" s="36">
        <f>Steuerung!$B$29*0.06</f>
        <v>1426.1339519999997</v>
      </c>
      <c r="D6" s="36">
        <f>Steuerung!$B$26/12</f>
        <v>2500</v>
      </c>
      <c r="E6" s="36">
        <f>Steuerung!$B$27/12</f>
        <v>11875</v>
      </c>
      <c r="F6" s="36">
        <f>IF(ROW()=ROW(F$6),Steuerung!$B$28,0)</f>
        <v>90000</v>
      </c>
      <c r="G6" s="36">
        <f t="shared" ref="G6:G17" si="0">SUM(B6:F6)</f>
        <v>108741.133952</v>
      </c>
      <c r="H6" s="10">
        <v>0</v>
      </c>
      <c r="I6" s="10">
        <v>0</v>
      </c>
      <c r="J6" s="10">
        <v>0</v>
      </c>
      <c r="K6" s="36">
        <f t="shared" ref="K6:K17" si="1">SUM(H6:J6)</f>
        <v>0</v>
      </c>
      <c r="L6" s="36">
        <f t="shared" ref="L6:L17" si="2">K6-G6</f>
        <v>-108741.133952</v>
      </c>
      <c r="M6" s="36">
        <f>SUM($K$6:K6)+SUM(G7:$G$17)</f>
        <v>212807.76524799998</v>
      </c>
      <c r="N6" s="40">
        <f>IF(SUM($C$6:C6)=0,0,SUM($H$6:H6)/SUM($C$6:C6))</f>
        <v>0</v>
      </c>
      <c r="O6" s="41" t="str">
        <f t="shared" ref="O6:O17" si="3">IF(N6&gt;1.1,"ROT",IF(N6&gt;0.9,"GELB","GRÜN"))</f>
        <v>GRÜN</v>
      </c>
    </row>
    <row r="7" spans="1:15" x14ac:dyDescent="0.25">
      <c r="A7" s="2" t="s">
        <v>92</v>
      </c>
      <c r="B7" s="36">
        <f>Steuerung!$B$25/12</f>
        <v>2940</v>
      </c>
      <c r="C7" s="36">
        <f>Steuerung!$B$29*0.06</f>
        <v>1426.1339519999997</v>
      </c>
      <c r="D7" s="36">
        <f>Steuerung!$B$26/12</f>
        <v>2500</v>
      </c>
      <c r="E7" s="36">
        <f>Steuerung!$B$27/12</f>
        <v>11875</v>
      </c>
      <c r="F7" s="36">
        <f>IF(ROW()=ROW(F$6),Steuerung!$B$28,0)</f>
        <v>0</v>
      </c>
      <c r="G7" s="36">
        <f t="shared" si="0"/>
        <v>18741.133952</v>
      </c>
      <c r="H7" s="10">
        <v>0</v>
      </c>
      <c r="I7" s="10">
        <v>0</v>
      </c>
      <c r="J7" s="10">
        <v>0</v>
      </c>
      <c r="K7" s="36">
        <f t="shared" si="1"/>
        <v>0</v>
      </c>
      <c r="L7" s="36">
        <f t="shared" si="2"/>
        <v>-18741.133952</v>
      </c>
      <c r="M7" s="36">
        <f>SUM($K$6:K7)+SUM(G8:$G$17)</f>
        <v>194066.63129599998</v>
      </c>
      <c r="N7" s="40">
        <f>IF(SUM($C$6:C7)=0,0,SUM($H$6:H7)/SUM($C$6:C7))</f>
        <v>0</v>
      </c>
      <c r="O7" s="41" t="str">
        <f t="shared" si="3"/>
        <v>GRÜN</v>
      </c>
    </row>
    <row r="8" spans="1:15" x14ac:dyDescent="0.25">
      <c r="A8" s="2" t="s">
        <v>93</v>
      </c>
      <c r="B8" s="36">
        <f>Steuerung!$B$25/12</f>
        <v>2940</v>
      </c>
      <c r="C8" s="36">
        <f>Steuerung!$B$29*0.07</f>
        <v>1663.8229439999998</v>
      </c>
      <c r="D8" s="36">
        <f>Steuerung!$B$26/12</f>
        <v>2500</v>
      </c>
      <c r="E8" s="36">
        <f>Steuerung!$B$27/12</f>
        <v>11875</v>
      </c>
      <c r="F8" s="36">
        <f>IF(ROW()=ROW(F$6),Steuerung!$B$28,0)</f>
        <v>0</v>
      </c>
      <c r="G8" s="36">
        <f t="shared" si="0"/>
        <v>18978.822944</v>
      </c>
      <c r="H8" s="10">
        <v>0</v>
      </c>
      <c r="I8" s="10">
        <v>0</v>
      </c>
      <c r="J8" s="10">
        <v>0</v>
      </c>
      <c r="K8" s="36">
        <f t="shared" si="1"/>
        <v>0</v>
      </c>
      <c r="L8" s="36">
        <f t="shared" si="2"/>
        <v>-18978.822944</v>
      </c>
      <c r="M8" s="36">
        <f>SUM($K$6:K8)+SUM(G9:$G$17)</f>
        <v>175087.80835199996</v>
      </c>
      <c r="N8" s="40">
        <f>IF(SUM($C$6:C8)=0,0,SUM($H$6:H8)/SUM($C$6:C8))</f>
        <v>0</v>
      </c>
      <c r="O8" s="41" t="str">
        <f t="shared" si="3"/>
        <v>GRÜN</v>
      </c>
    </row>
    <row r="9" spans="1:15" x14ac:dyDescent="0.25">
      <c r="A9" s="2" t="s">
        <v>94</v>
      </c>
      <c r="B9" s="36">
        <f>Steuerung!$B$25/12</f>
        <v>2940</v>
      </c>
      <c r="C9" s="36">
        <f>Steuerung!$B$29*0.07</f>
        <v>1663.8229439999998</v>
      </c>
      <c r="D9" s="36">
        <f>Steuerung!$B$26/12</f>
        <v>2500</v>
      </c>
      <c r="E9" s="36">
        <f>Steuerung!$B$27/12</f>
        <v>11875</v>
      </c>
      <c r="F9" s="36">
        <f>IF(ROW()=ROW(F$6),Steuerung!$B$28,0)</f>
        <v>0</v>
      </c>
      <c r="G9" s="36">
        <f t="shared" si="0"/>
        <v>18978.822944</v>
      </c>
      <c r="H9" s="10">
        <v>0</v>
      </c>
      <c r="I9" s="10">
        <v>0</v>
      </c>
      <c r="J9" s="10">
        <v>0</v>
      </c>
      <c r="K9" s="36">
        <f t="shared" si="1"/>
        <v>0</v>
      </c>
      <c r="L9" s="36">
        <f t="shared" si="2"/>
        <v>-18978.822944</v>
      </c>
      <c r="M9" s="36">
        <f>SUM($K$6:K9)+SUM(G10:$G$17)</f>
        <v>156108.98540800001</v>
      </c>
      <c r="N9" s="40">
        <f>IF(SUM($C$6:C9)=0,0,SUM($H$6:H9)/SUM($C$6:C9))</f>
        <v>0</v>
      </c>
      <c r="O9" s="41" t="str">
        <f t="shared" si="3"/>
        <v>GRÜN</v>
      </c>
    </row>
    <row r="10" spans="1:15" x14ac:dyDescent="0.25">
      <c r="A10" s="2" t="s">
        <v>95</v>
      </c>
      <c r="B10" s="36">
        <f>Steuerung!$B$25/12</f>
        <v>2940</v>
      </c>
      <c r="C10" s="36">
        <f>Steuerung!$B$29*0.08</f>
        <v>1901.5119359999997</v>
      </c>
      <c r="D10" s="36">
        <f>Steuerung!$B$26/12</f>
        <v>2500</v>
      </c>
      <c r="E10" s="36">
        <f>Steuerung!$B$27/12</f>
        <v>11875</v>
      </c>
      <c r="F10" s="36">
        <f>IF(ROW()=ROW(F$6),Steuerung!$B$28,0)</f>
        <v>0</v>
      </c>
      <c r="G10" s="36">
        <f t="shared" si="0"/>
        <v>19216.511935999999</v>
      </c>
      <c r="H10" s="10">
        <v>0</v>
      </c>
      <c r="I10" s="10">
        <v>0</v>
      </c>
      <c r="J10" s="10">
        <v>0</v>
      </c>
      <c r="K10" s="36">
        <f t="shared" si="1"/>
        <v>0</v>
      </c>
      <c r="L10" s="36">
        <f t="shared" si="2"/>
        <v>-19216.511935999999</v>
      </c>
      <c r="M10" s="36">
        <f>SUM($K$6:K10)+SUM(G11:$G$17)</f>
        <v>136892.47347199998</v>
      </c>
      <c r="N10" s="40">
        <f>IF(SUM($C$6:C10)=0,0,SUM($H$6:H10)/SUM($C$6:C10))</f>
        <v>0</v>
      </c>
      <c r="O10" s="41" t="str">
        <f t="shared" si="3"/>
        <v>GRÜN</v>
      </c>
    </row>
    <row r="11" spans="1:15" x14ac:dyDescent="0.25">
      <c r="A11" s="2" t="s">
        <v>96</v>
      </c>
      <c r="B11" s="36">
        <f>Steuerung!$B$25/12</f>
        <v>2940</v>
      </c>
      <c r="C11" s="36">
        <f>Steuerung!$B$29*0.08</f>
        <v>1901.5119359999997</v>
      </c>
      <c r="D11" s="36">
        <f>Steuerung!$B$26/12</f>
        <v>2500</v>
      </c>
      <c r="E11" s="36">
        <f>Steuerung!$B$27/12</f>
        <v>11875</v>
      </c>
      <c r="F11" s="36">
        <f>IF(ROW()=ROW(F$6),Steuerung!$B$28,0)</f>
        <v>0</v>
      </c>
      <c r="G11" s="36">
        <f t="shared" si="0"/>
        <v>19216.511935999999</v>
      </c>
      <c r="H11" s="10">
        <v>0</v>
      </c>
      <c r="I11" s="10">
        <v>0</v>
      </c>
      <c r="J11" s="10">
        <v>0</v>
      </c>
      <c r="K11" s="36">
        <f t="shared" si="1"/>
        <v>0</v>
      </c>
      <c r="L11" s="36">
        <f t="shared" si="2"/>
        <v>-19216.511935999999</v>
      </c>
      <c r="M11" s="36">
        <f>SUM($K$6:K11)+SUM(G12:$G$17)</f>
        <v>117675.961536</v>
      </c>
      <c r="N11" s="40">
        <f>IF(SUM($C$6:C11)=0,0,SUM($H$6:H11)/SUM($C$6:C11))</f>
        <v>0</v>
      </c>
      <c r="O11" s="41" t="str">
        <f t="shared" si="3"/>
        <v>GRÜN</v>
      </c>
    </row>
    <row r="12" spans="1:15" x14ac:dyDescent="0.25">
      <c r="A12" s="2" t="s">
        <v>97</v>
      </c>
      <c r="B12" s="36">
        <f>Steuerung!$B$25/12</f>
        <v>2940</v>
      </c>
      <c r="C12" s="36">
        <f>Steuerung!$B$29*0.08</f>
        <v>1901.5119359999997</v>
      </c>
      <c r="D12" s="36">
        <f>Steuerung!$B$26/12</f>
        <v>2500</v>
      </c>
      <c r="E12" s="36">
        <f>Steuerung!$B$27/12</f>
        <v>11875</v>
      </c>
      <c r="F12" s="36">
        <f>IF(ROW()=ROW(F$6),Steuerung!$B$28,0)</f>
        <v>0</v>
      </c>
      <c r="G12" s="36">
        <f t="shared" si="0"/>
        <v>19216.511935999999</v>
      </c>
      <c r="H12" s="10">
        <v>0</v>
      </c>
      <c r="I12" s="10">
        <v>0</v>
      </c>
      <c r="J12" s="10">
        <v>0</v>
      </c>
      <c r="K12" s="36">
        <f t="shared" si="1"/>
        <v>0</v>
      </c>
      <c r="L12" s="36">
        <f t="shared" si="2"/>
        <v>-19216.511935999999</v>
      </c>
      <c r="M12" s="36">
        <f>SUM($K$6:K12)+SUM(G13:$G$17)</f>
        <v>98459.449599999993</v>
      </c>
      <c r="N12" s="40">
        <f>IF(SUM($C$6:C12)=0,0,SUM($H$6:H12)/SUM($C$6:C12))</f>
        <v>0</v>
      </c>
      <c r="O12" s="41" t="str">
        <f t="shared" si="3"/>
        <v>GRÜN</v>
      </c>
    </row>
    <row r="13" spans="1:15" x14ac:dyDescent="0.25">
      <c r="A13" s="2" t="s">
        <v>98</v>
      </c>
      <c r="B13" s="36">
        <f>Steuerung!$B$25/12</f>
        <v>2940</v>
      </c>
      <c r="C13" s="36">
        <f>Steuerung!$B$29*0.09</f>
        <v>2139.2009279999997</v>
      </c>
      <c r="D13" s="36">
        <f>Steuerung!$B$26/12</f>
        <v>2500</v>
      </c>
      <c r="E13" s="36">
        <f>Steuerung!$B$27/12</f>
        <v>11875</v>
      </c>
      <c r="F13" s="36">
        <f>IF(ROW()=ROW(F$6),Steuerung!$B$28,0)</f>
        <v>0</v>
      </c>
      <c r="G13" s="36">
        <f t="shared" si="0"/>
        <v>19454.200927999998</v>
      </c>
      <c r="H13" s="10">
        <v>0</v>
      </c>
      <c r="I13" s="10">
        <v>0</v>
      </c>
      <c r="J13" s="10">
        <v>0</v>
      </c>
      <c r="K13" s="36">
        <f t="shared" si="1"/>
        <v>0</v>
      </c>
      <c r="L13" s="36">
        <f t="shared" si="2"/>
        <v>-19454.200927999998</v>
      </c>
      <c r="M13" s="36">
        <f>SUM($K$6:K13)+SUM(G14:$G$17)</f>
        <v>79005.248672000002</v>
      </c>
      <c r="N13" s="40">
        <f>IF(SUM($C$6:C13)=0,0,SUM($H$6:H13)/SUM($C$6:C13))</f>
        <v>0</v>
      </c>
      <c r="O13" s="41" t="str">
        <f t="shared" si="3"/>
        <v>GRÜN</v>
      </c>
    </row>
    <row r="14" spans="1:15" x14ac:dyDescent="0.25">
      <c r="A14" s="2" t="s">
        <v>99</v>
      </c>
      <c r="B14" s="36">
        <f>Steuerung!$B$25/12</f>
        <v>2940</v>
      </c>
      <c r="C14" s="36">
        <f>Steuerung!$B$29*0.1</f>
        <v>2376.8899199999996</v>
      </c>
      <c r="D14" s="36">
        <f>Steuerung!$B$26/12</f>
        <v>2500</v>
      </c>
      <c r="E14" s="36">
        <f>Steuerung!$B$27/12</f>
        <v>11875</v>
      </c>
      <c r="F14" s="36">
        <f>IF(ROW()=ROW(F$6),Steuerung!$B$28,0)</f>
        <v>0</v>
      </c>
      <c r="G14" s="36">
        <f t="shared" si="0"/>
        <v>19691.889920000001</v>
      </c>
      <c r="H14" s="10">
        <v>0</v>
      </c>
      <c r="I14" s="10">
        <v>0</v>
      </c>
      <c r="J14" s="10">
        <v>0</v>
      </c>
      <c r="K14" s="36">
        <f t="shared" si="1"/>
        <v>0</v>
      </c>
      <c r="L14" s="36">
        <f t="shared" si="2"/>
        <v>-19691.889920000001</v>
      </c>
      <c r="M14" s="36">
        <f>SUM($K$6:K14)+SUM(G15:$G$17)</f>
        <v>59313.358752</v>
      </c>
      <c r="N14" s="40">
        <f>IF(SUM($C$6:C14)=0,0,SUM($H$6:H14)/SUM($C$6:C14))</f>
        <v>0</v>
      </c>
      <c r="O14" s="41" t="str">
        <f t="shared" si="3"/>
        <v>GRÜN</v>
      </c>
    </row>
    <row r="15" spans="1:15" x14ac:dyDescent="0.25">
      <c r="A15" s="2" t="s">
        <v>100</v>
      </c>
      <c r="B15" s="36">
        <f>Steuerung!$B$25/12</f>
        <v>2940</v>
      </c>
      <c r="C15" s="36">
        <f>Steuerung!$B$29*0.1</f>
        <v>2376.8899199999996</v>
      </c>
      <c r="D15" s="36">
        <f>Steuerung!$B$26/12</f>
        <v>2500</v>
      </c>
      <c r="E15" s="36">
        <f>Steuerung!$B$27/12</f>
        <v>11875</v>
      </c>
      <c r="F15" s="36">
        <f>IF(ROW()=ROW(F$6),Steuerung!$B$28,0)</f>
        <v>0</v>
      </c>
      <c r="G15" s="36">
        <f t="shared" si="0"/>
        <v>19691.889920000001</v>
      </c>
      <c r="H15" s="10">
        <v>0</v>
      </c>
      <c r="I15" s="10">
        <v>0</v>
      </c>
      <c r="J15" s="10">
        <v>0</v>
      </c>
      <c r="K15" s="36">
        <f t="shared" si="1"/>
        <v>0</v>
      </c>
      <c r="L15" s="36">
        <f t="shared" si="2"/>
        <v>-19691.889920000001</v>
      </c>
      <c r="M15" s="36">
        <f>SUM($K$6:K15)+SUM(G16:$G$17)</f>
        <v>39621.468831999999</v>
      </c>
      <c r="N15" s="40">
        <f>IF(SUM($C$6:C15)=0,0,SUM($H$6:H15)/SUM($C$6:C15))</f>
        <v>0</v>
      </c>
      <c r="O15" s="41" t="str">
        <f t="shared" si="3"/>
        <v>GRÜN</v>
      </c>
    </row>
    <row r="16" spans="1:15" x14ac:dyDescent="0.25">
      <c r="A16" s="2" t="s">
        <v>101</v>
      </c>
      <c r="B16" s="36">
        <f>Steuerung!$B$25/12</f>
        <v>2940</v>
      </c>
      <c r="C16" s="36">
        <f>Steuerung!$B$29*0.1</f>
        <v>2376.8899199999996</v>
      </c>
      <c r="D16" s="36">
        <f>Steuerung!$B$26/12</f>
        <v>2500</v>
      </c>
      <c r="E16" s="36">
        <f>Steuerung!$B$27/12</f>
        <v>11875</v>
      </c>
      <c r="F16" s="36">
        <f>IF(ROW()=ROW(F$6),Steuerung!$B$28,0)</f>
        <v>0</v>
      </c>
      <c r="G16" s="36">
        <f t="shared" si="0"/>
        <v>19691.889920000001</v>
      </c>
      <c r="H16" s="10">
        <v>0</v>
      </c>
      <c r="I16" s="10">
        <v>0</v>
      </c>
      <c r="J16" s="10">
        <v>0</v>
      </c>
      <c r="K16" s="36">
        <f t="shared" si="1"/>
        <v>0</v>
      </c>
      <c r="L16" s="36">
        <f t="shared" si="2"/>
        <v>-19691.889920000001</v>
      </c>
      <c r="M16" s="36">
        <f>SUM($K$6:K16)+SUM(G17:$G$17)</f>
        <v>19929.578911999997</v>
      </c>
      <c r="N16" s="40">
        <f>IF(SUM($C$6:C16)=0,0,SUM($H$6:H16)/SUM($C$6:C16))</f>
        <v>0</v>
      </c>
      <c r="O16" s="41" t="str">
        <f t="shared" si="3"/>
        <v>GRÜN</v>
      </c>
    </row>
    <row r="17" spans="1:15" x14ac:dyDescent="0.25">
      <c r="A17" s="2" t="s">
        <v>102</v>
      </c>
      <c r="B17" s="36">
        <f>Steuerung!$B$25/12</f>
        <v>2940</v>
      </c>
      <c r="C17" s="36">
        <f>Steuerung!$B$29*0.11</f>
        <v>2614.5789119999995</v>
      </c>
      <c r="D17" s="36">
        <f>Steuerung!$B$26/12</f>
        <v>2500</v>
      </c>
      <c r="E17" s="36">
        <f>Steuerung!$B$27/12</f>
        <v>11875</v>
      </c>
      <c r="F17" s="36">
        <f>IF(ROW()=ROW(F$6),Steuerung!$B$28,0)</f>
        <v>0</v>
      </c>
      <c r="G17" s="36">
        <f t="shared" si="0"/>
        <v>19929.578911999997</v>
      </c>
      <c r="H17" s="10">
        <v>0</v>
      </c>
      <c r="I17" s="10">
        <v>0</v>
      </c>
      <c r="J17" s="10">
        <v>0</v>
      </c>
      <c r="K17" s="36">
        <f t="shared" si="1"/>
        <v>0</v>
      </c>
      <c r="L17" s="36">
        <f t="shared" si="2"/>
        <v>-19929.578911999997</v>
      </c>
      <c r="M17" s="36">
        <f>SUM($K$6:K17)</f>
        <v>0</v>
      </c>
      <c r="N17" s="40">
        <f>IF(SUM($C$6:C17)=0,0,SUM($H$6:H17)/SUM($C$6:C17))</f>
        <v>0</v>
      </c>
      <c r="O17" s="41" t="str">
        <f t="shared" si="3"/>
        <v>GRÜN</v>
      </c>
    </row>
    <row r="18" spans="1:15" x14ac:dyDescent="0.25">
      <c r="A18" s="29" t="s">
        <v>103</v>
      </c>
      <c r="B18" s="38">
        <f t="shared" ref="B18:L18" si="4">SUM(B6:B17)</f>
        <v>35280</v>
      </c>
      <c r="C18" s="38">
        <f t="shared" si="4"/>
        <v>23768.899199999996</v>
      </c>
      <c r="D18" s="38">
        <f t="shared" si="4"/>
        <v>30000</v>
      </c>
      <c r="E18" s="38">
        <f t="shared" si="4"/>
        <v>142500</v>
      </c>
      <c r="F18" s="38">
        <f t="shared" si="4"/>
        <v>90000</v>
      </c>
      <c r="G18" s="39">
        <f t="shared" si="4"/>
        <v>321548.89919999999</v>
      </c>
      <c r="H18" s="38">
        <f t="shared" si="4"/>
        <v>0</v>
      </c>
      <c r="I18" s="38">
        <f t="shared" si="4"/>
        <v>0</v>
      </c>
      <c r="J18" s="38">
        <f t="shared" si="4"/>
        <v>0</v>
      </c>
      <c r="K18" s="38">
        <f t="shared" si="4"/>
        <v>0</v>
      </c>
      <c r="L18" s="38">
        <f t="shared" si="4"/>
        <v>-321548.89919999999</v>
      </c>
      <c r="M18" s="29"/>
      <c r="N18" s="29"/>
      <c r="O18" s="29"/>
    </row>
  </sheetData>
  <mergeCells count="2">
    <mergeCell ref="A2:O2"/>
    <mergeCell ref="A3:O3"/>
  </mergeCells>
  <conditionalFormatting sqref="N6:N17">
    <cfRule type="cellIs" dxfId="3" priority="1" operator="greaterThan">
      <formula>1.1</formula>
    </cfRule>
  </conditionalFormatting>
  <conditionalFormatting sqref="O6:O17">
    <cfRule type="cellIs" dxfId="2" priority="2" stopIfTrue="1" operator="equal">
      <formula>"GRÜN"</formula>
    </cfRule>
    <cfRule type="cellIs" dxfId="1" priority="3" stopIfTrue="1" operator="equal">
      <formula>"GELB"</formula>
    </cfRule>
    <cfRule type="cellIs" dxfId="0" priority="4" stopIfTrue="1" operator="equal">
      <formula>"ROT"</formula>
    </cfRule>
  </conditionalFormatting>
  <pageMargins left="0.75" right="0.75" top="1" bottom="1" header="0.5" footer="0.5"/>
  <pageSetup paperSize="9" scale="61" fitToHeight="0" orientation="landscape" r:id="rId1"/>
  <headerFooter>
    <oddFooter>&amp;L&amp;8Björn-Olaf Lange · www.langeatn.de · Version 1.0&amp;R&amp;8Seite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7"/>
  <sheetViews>
    <sheetView showGridLines="0" workbookViewId="0">
      <pane ySplit="4" topLeftCell="A5" activePane="bottomLeft" state="frozenSplit"/>
      <selection pane="bottomLeft"/>
    </sheetView>
  </sheetViews>
  <sheetFormatPr baseColWidth="10" defaultColWidth="9.140625" defaultRowHeight="15" x14ac:dyDescent="0.25"/>
  <cols>
    <col min="1" max="1" width="26" customWidth="1"/>
    <col min="2" max="5" width="16" customWidth="1"/>
    <col min="6" max="6" width="62.7109375" customWidth="1"/>
  </cols>
  <sheetData>
    <row r="1" spans="1:10" ht="21" customHeight="1" x14ac:dyDescent="0.25">
      <c r="A1" s="17" t="s">
        <v>181</v>
      </c>
      <c r="B1" s="16"/>
      <c r="C1" s="16"/>
      <c r="D1" s="16"/>
      <c r="E1" s="16"/>
      <c r="F1" s="16"/>
      <c r="G1" s="16"/>
      <c r="H1" s="16"/>
      <c r="I1" s="16"/>
      <c r="J1" s="18" t="s">
        <v>147</v>
      </c>
    </row>
    <row r="2" spans="1:10" ht="30" customHeight="1" x14ac:dyDescent="0.4">
      <c r="A2" s="19" t="s">
        <v>104</v>
      </c>
      <c r="B2" s="19"/>
      <c r="C2" s="19"/>
      <c r="D2" s="19"/>
      <c r="E2" s="19"/>
      <c r="F2" s="19"/>
      <c r="G2" s="19"/>
      <c r="H2" s="19"/>
      <c r="I2" s="19"/>
      <c r="J2" s="19"/>
    </row>
    <row r="3" spans="1:10" x14ac:dyDescent="0.25">
      <c r="A3" s="4" t="s">
        <v>165</v>
      </c>
      <c r="B3" s="20"/>
      <c r="C3" s="20"/>
      <c r="D3" s="20"/>
      <c r="E3" s="20"/>
      <c r="F3" s="20"/>
      <c r="G3" s="20"/>
      <c r="H3" s="20"/>
      <c r="I3" s="20"/>
      <c r="J3" s="20"/>
    </row>
    <row r="4" spans="1:10" x14ac:dyDescent="0.25">
      <c r="A4" s="2"/>
      <c r="B4" s="21" t="s">
        <v>182</v>
      </c>
      <c r="C4" s="22" t="s">
        <v>183</v>
      </c>
      <c r="D4" s="23" t="s">
        <v>184</v>
      </c>
      <c r="E4" s="2"/>
      <c r="F4" s="2"/>
      <c r="G4" s="2"/>
      <c r="H4" s="2"/>
      <c r="I4" s="2"/>
      <c r="J4" s="2"/>
    </row>
    <row r="5" spans="1:10" x14ac:dyDescent="0.25">
      <c r="A5" s="42" t="s">
        <v>105</v>
      </c>
      <c r="B5" s="42" t="s">
        <v>106</v>
      </c>
      <c r="C5" s="42" t="s">
        <v>107</v>
      </c>
      <c r="D5" s="42" t="s">
        <v>108</v>
      </c>
      <c r="E5" s="42" t="s">
        <v>109</v>
      </c>
      <c r="F5" s="42" t="s">
        <v>110</v>
      </c>
      <c r="G5" s="2"/>
      <c r="H5" s="2"/>
      <c r="I5" s="2"/>
      <c r="J5" s="2"/>
    </row>
    <row r="6" spans="1:10" x14ac:dyDescent="0.25">
      <c r="A6" s="2" t="s">
        <v>111</v>
      </c>
      <c r="B6" s="35">
        <v>50</v>
      </c>
      <c r="C6" s="35">
        <v>100</v>
      </c>
      <c r="D6" s="35">
        <v>175</v>
      </c>
      <c r="E6" s="35">
        <v>100</v>
      </c>
      <c r="F6" s="2" t="s">
        <v>158</v>
      </c>
      <c r="G6" s="2"/>
      <c r="H6" s="2"/>
      <c r="I6" s="2"/>
      <c r="J6" s="2"/>
    </row>
    <row r="7" spans="1:10" x14ac:dyDescent="0.25">
      <c r="A7" s="2" t="s">
        <v>112</v>
      </c>
      <c r="B7" s="36">
        <f>B6*Steuerung!$B$9*12*(1+Steuerung!$B$12)</f>
        <v>17640</v>
      </c>
      <c r="C7" s="36">
        <f>C6*Steuerung!$B$9*12*(1+Steuerung!$B$12)</f>
        <v>35280</v>
      </c>
      <c r="D7" s="36">
        <f>D6*Steuerung!$B$9*12*(1+Steuerung!$B$12)</f>
        <v>61740</v>
      </c>
      <c r="E7" s="36">
        <f>E6*Steuerung!$B$9*12*(1+Steuerung!$B$12)</f>
        <v>35280</v>
      </c>
      <c r="F7" s="2" t="s">
        <v>159</v>
      </c>
      <c r="G7" s="2"/>
      <c r="H7" s="2"/>
      <c r="I7" s="2"/>
      <c r="J7" s="2"/>
    </row>
    <row r="8" spans="1:10" x14ac:dyDescent="0.25">
      <c r="A8" s="2" t="s">
        <v>156</v>
      </c>
      <c r="B8" s="35">
        <v>0.5</v>
      </c>
      <c r="C8" s="35">
        <v>1</v>
      </c>
      <c r="D8" s="35">
        <v>1.8</v>
      </c>
      <c r="E8" s="35">
        <v>1</v>
      </c>
      <c r="F8" s="2" t="s">
        <v>160</v>
      </c>
      <c r="G8" s="2"/>
      <c r="H8" s="2"/>
      <c r="I8" s="2"/>
      <c r="J8" s="2"/>
    </row>
    <row r="9" spans="1:10" x14ac:dyDescent="0.25">
      <c r="A9" s="2" t="s">
        <v>157</v>
      </c>
      <c r="B9" s="35">
        <v>1</v>
      </c>
      <c r="C9" s="35">
        <v>1</v>
      </c>
      <c r="D9" s="35">
        <v>1</v>
      </c>
      <c r="E9" s="35">
        <v>3</v>
      </c>
      <c r="F9" s="2" t="s">
        <v>161</v>
      </c>
      <c r="G9" s="2"/>
      <c r="H9" s="2"/>
      <c r="I9" s="2"/>
      <c r="J9" s="2"/>
    </row>
    <row r="10" spans="1:10" x14ac:dyDescent="0.25">
      <c r="A10" s="2" t="s">
        <v>113</v>
      </c>
      <c r="B10" s="36">
        <f>Steuerung!$B$29*B8*B9</f>
        <v>11884.449599999998</v>
      </c>
      <c r="C10" s="36">
        <f>Steuerung!$B$29*C8*C9</f>
        <v>23768.899199999996</v>
      </c>
      <c r="D10" s="36">
        <f>Steuerung!$B$29*D8*D9</f>
        <v>42784.018559999997</v>
      </c>
      <c r="E10" s="36">
        <f>Steuerung!$B$29*E8*E9</f>
        <v>71306.697599999985</v>
      </c>
      <c r="F10" s="2" t="s">
        <v>162</v>
      </c>
      <c r="G10" s="2"/>
      <c r="H10" s="2"/>
      <c r="I10" s="2"/>
      <c r="J10" s="2"/>
    </row>
    <row r="11" spans="1:10" x14ac:dyDescent="0.25">
      <c r="A11" s="2" t="s">
        <v>114</v>
      </c>
      <c r="B11" s="36">
        <f>Steuerung!$B$26</f>
        <v>30000</v>
      </c>
      <c r="C11" s="36">
        <f>Steuerung!$B$26</f>
        <v>30000</v>
      </c>
      <c r="D11" s="36">
        <f>Steuerung!$B$26</f>
        <v>30000</v>
      </c>
      <c r="E11" s="36">
        <f>Steuerung!$B$26</f>
        <v>30000</v>
      </c>
      <c r="F11" s="2"/>
      <c r="G11" s="2"/>
      <c r="H11" s="2"/>
      <c r="I11" s="2"/>
      <c r="J11" s="2"/>
    </row>
    <row r="12" spans="1:10" x14ac:dyDescent="0.25">
      <c r="A12" s="2" t="s">
        <v>115</v>
      </c>
      <c r="B12" s="36">
        <f>Steuerung!$B$27</f>
        <v>142500</v>
      </c>
      <c r="C12" s="36">
        <f>Steuerung!$B$27</f>
        <v>142500</v>
      </c>
      <c r="D12" s="36">
        <f>Steuerung!$B$27</f>
        <v>142500</v>
      </c>
      <c r="E12" s="36">
        <f>Steuerung!$B$27</f>
        <v>142500</v>
      </c>
      <c r="F12" s="2"/>
      <c r="G12" s="2"/>
      <c r="H12" s="2"/>
      <c r="I12" s="2"/>
      <c r="J12" s="2"/>
    </row>
    <row r="13" spans="1:10" x14ac:dyDescent="0.25">
      <c r="A13" s="2" t="s">
        <v>35</v>
      </c>
      <c r="B13" s="36">
        <f>Steuerung!$B$28</f>
        <v>90000</v>
      </c>
      <c r="C13" s="36">
        <f>Steuerung!$B$28</f>
        <v>90000</v>
      </c>
      <c r="D13" s="36">
        <f>Steuerung!$B$28</f>
        <v>90000</v>
      </c>
      <c r="E13" s="36">
        <f>Steuerung!$B$28</f>
        <v>90000</v>
      </c>
      <c r="F13" s="2"/>
      <c r="G13" s="2"/>
      <c r="H13" s="2"/>
      <c r="I13" s="2"/>
      <c r="J13" s="2"/>
    </row>
    <row r="14" spans="1:10" x14ac:dyDescent="0.25">
      <c r="A14" s="2" t="s">
        <v>116</v>
      </c>
      <c r="B14" s="43">
        <f>SUM(B7,B10:B13)</f>
        <v>292024.44959999999</v>
      </c>
      <c r="C14" s="43">
        <f>SUM(C7,C10:C13)</f>
        <v>321548.89919999999</v>
      </c>
      <c r="D14" s="43">
        <f>SUM(D7,D10:D13)</f>
        <v>367024.01856</v>
      </c>
      <c r="E14" s="43">
        <f>SUM(E7,E10:E13)</f>
        <v>369086.69759999996</v>
      </c>
      <c r="F14" s="2"/>
      <c r="G14" s="2"/>
      <c r="H14" s="2"/>
      <c r="I14" s="2"/>
      <c r="J14" s="2"/>
    </row>
    <row r="15" spans="1:10" x14ac:dyDescent="0.25">
      <c r="A15" s="2" t="s">
        <v>117</v>
      </c>
      <c r="B15" s="36">
        <f>'Use Cases'!$O$13*B8</f>
        <v>87980.681250000009</v>
      </c>
      <c r="C15" s="36">
        <f>'Use Cases'!$O$13*C8</f>
        <v>175961.36250000002</v>
      </c>
      <c r="D15" s="36">
        <f>'Use Cases'!$O$13*D8</f>
        <v>316730.45250000001</v>
      </c>
      <c r="E15" s="36">
        <f>'Use Cases'!$O$13*E8</f>
        <v>175961.36250000002</v>
      </c>
      <c r="F15" s="2" t="s">
        <v>163</v>
      </c>
      <c r="G15" s="2"/>
      <c r="H15" s="2"/>
      <c r="I15" s="2"/>
      <c r="J15" s="2"/>
    </row>
    <row r="16" spans="1:10" x14ac:dyDescent="0.25">
      <c r="A16" s="2" t="s">
        <v>118</v>
      </c>
      <c r="B16" s="44">
        <f>IF(B14=0,0,(B15-B14)/B14)</f>
        <v>-0.69872152358985207</v>
      </c>
      <c r="C16" s="44">
        <f>IF(C14=0,0,(C15-C14)/C14)</f>
        <v>-0.45276950741307337</v>
      </c>
      <c r="D16" s="44">
        <f>IF(D14=0,0,(D15-D14)/D14)</f>
        <v>-0.13703072146973982</v>
      </c>
      <c r="E16" s="44">
        <f>IF(E14=0,0,(E15-E14)/E14)</f>
        <v>-0.52325195233478916</v>
      </c>
      <c r="F16" s="2" t="s">
        <v>164</v>
      </c>
      <c r="G16" s="2"/>
      <c r="H16" s="2"/>
      <c r="I16" s="2"/>
      <c r="J16" s="2"/>
    </row>
    <row r="17" spans="1:10" x14ac:dyDescent="0.25">
      <c r="A17" s="2" t="s">
        <v>119</v>
      </c>
      <c r="B17" s="36">
        <f>IF(B6=0,0,B14/B6)</f>
        <v>5840.4889919999996</v>
      </c>
      <c r="C17" s="36">
        <f>IF(C6=0,0,C14/C6)</f>
        <v>3215.4889920000001</v>
      </c>
      <c r="D17" s="36">
        <f>IF(D6=0,0,D14/D6)</f>
        <v>2097.2801060571428</v>
      </c>
      <c r="E17" s="36">
        <f>IF(E6=0,0,E14/E6)</f>
        <v>3690.8669759999993</v>
      </c>
      <c r="F17" s="2"/>
      <c r="G17" s="2"/>
      <c r="H17" s="2"/>
      <c r="I17" s="2"/>
      <c r="J17" s="2"/>
    </row>
  </sheetData>
  <mergeCells count="2">
    <mergeCell ref="A2:J2"/>
    <mergeCell ref="A3:J3"/>
  </mergeCells>
  <pageMargins left="0.75" right="0.75" top="1" bottom="1" header="0.5" footer="0.5"/>
  <pageSetup paperSize="9" scale="45" fitToHeight="0" orientation="portrait" r:id="rId1"/>
  <headerFooter>
    <oddFooter>&amp;L&amp;8Björn-Olaf Lange · www.langeatn.de · Version 1.0&amp;R&amp;8Seite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1"/>
  <sheetViews>
    <sheetView showGridLines="0" workbookViewId="0">
      <pane ySplit="4" topLeftCell="A5" activePane="bottomLeft" state="frozenSplit"/>
      <selection pane="bottomLeft"/>
    </sheetView>
  </sheetViews>
  <sheetFormatPr baseColWidth="10" defaultColWidth="9.140625" defaultRowHeight="15" x14ac:dyDescent="0.25"/>
  <cols>
    <col min="1" max="12" width="13" customWidth="1"/>
  </cols>
  <sheetData>
    <row r="1" spans="1:12" ht="21" customHeight="1" x14ac:dyDescent="0.25">
      <c r="A1" s="17" t="s">
        <v>181</v>
      </c>
      <c r="B1" s="16"/>
      <c r="C1" s="16"/>
      <c r="D1" s="16"/>
      <c r="E1" s="16"/>
      <c r="F1" s="16"/>
      <c r="G1" s="16"/>
      <c r="H1" s="16"/>
      <c r="I1" s="16"/>
      <c r="J1" s="16"/>
      <c r="K1" s="16"/>
      <c r="L1" s="18" t="s">
        <v>147</v>
      </c>
    </row>
    <row r="2" spans="1:12" ht="30" customHeight="1" x14ac:dyDescent="0.4">
      <c r="A2" s="19" t="s">
        <v>120</v>
      </c>
      <c r="B2" s="19"/>
      <c r="C2" s="19"/>
      <c r="D2" s="19"/>
      <c r="E2" s="19"/>
      <c r="F2" s="19"/>
      <c r="G2" s="19"/>
      <c r="H2" s="19"/>
      <c r="I2" s="19"/>
      <c r="J2" s="19"/>
      <c r="K2" s="19"/>
      <c r="L2" s="19"/>
    </row>
    <row r="3" spans="1:12" x14ac:dyDescent="0.25">
      <c r="A3" s="4" t="s">
        <v>121</v>
      </c>
      <c r="B3" s="20"/>
      <c r="C3" s="20"/>
      <c r="D3" s="20"/>
      <c r="E3" s="20"/>
      <c r="F3" s="20"/>
      <c r="G3" s="20"/>
      <c r="H3" s="20"/>
      <c r="I3" s="20"/>
      <c r="J3" s="20"/>
      <c r="K3" s="20"/>
      <c r="L3" s="20"/>
    </row>
    <row r="4" spans="1:12" x14ac:dyDescent="0.25">
      <c r="A4" s="2"/>
      <c r="B4" s="21" t="s">
        <v>182</v>
      </c>
      <c r="C4" s="22" t="s">
        <v>183</v>
      </c>
      <c r="D4" s="23" t="s">
        <v>184</v>
      </c>
      <c r="E4" s="2"/>
      <c r="F4" s="2"/>
      <c r="G4" s="2"/>
      <c r="H4" s="2"/>
      <c r="I4" s="2"/>
      <c r="J4" s="2"/>
      <c r="K4" s="2"/>
      <c r="L4" s="2"/>
    </row>
    <row r="5" spans="1:12" x14ac:dyDescent="0.25">
      <c r="A5" s="45" t="s">
        <v>116</v>
      </c>
      <c r="B5" s="1"/>
      <c r="C5" s="1"/>
      <c r="D5" s="2"/>
      <c r="E5" s="45" t="s">
        <v>122</v>
      </c>
      <c r="F5" s="1"/>
      <c r="G5" s="1"/>
      <c r="H5" s="2"/>
      <c r="I5" s="45" t="s">
        <v>123</v>
      </c>
      <c r="J5" s="1"/>
      <c r="K5" s="1"/>
      <c r="L5" s="2"/>
    </row>
    <row r="6" spans="1:12" x14ac:dyDescent="0.25">
      <c r="A6" s="46">
        <f>Steuerung!B30</f>
        <v>321548.89919999999</v>
      </c>
      <c r="B6" s="1"/>
      <c r="C6" s="1"/>
      <c r="D6" s="2"/>
      <c r="E6" s="46">
        <f>Steuerung!B29</f>
        <v>23768.899199999996</v>
      </c>
      <c r="F6" s="1"/>
      <c r="G6" s="1"/>
      <c r="H6" s="2"/>
      <c r="I6" s="47">
        <f>Steuerung!B33</f>
        <v>7.392001421599019E-2</v>
      </c>
      <c r="J6" s="1"/>
      <c r="K6" s="1"/>
      <c r="L6" s="2"/>
    </row>
    <row r="7" spans="1:12" x14ac:dyDescent="0.25">
      <c r="A7" s="1"/>
      <c r="B7" s="1"/>
      <c r="C7" s="1"/>
      <c r="D7" s="2"/>
      <c r="E7" s="1"/>
      <c r="F7" s="1"/>
      <c r="G7" s="1"/>
      <c r="H7" s="2"/>
      <c r="I7" s="1"/>
      <c r="J7" s="1"/>
      <c r="K7" s="1"/>
      <c r="L7" s="2"/>
    </row>
    <row r="8" spans="1:12" x14ac:dyDescent="0.25">
      <c r="A8" s="2"/>
      <c r="B8" s="2"/>
      <c r="C8" s="2"/>
      <c r="D8" s="2"/>
      <c r="E8" s="2"/>
      <c r="F8" s="2"/>
      <c r="G8" s="2"/>
      <c r="H8" s="2"/>
      <c r="I8" s="2"/>
      <c r="J8" s="2"/>
      <c r="K8" s="2"/>
      <c r="L8" s="2"/>
    </row>
    <row r="9" spans="1:12" x14ac:dyDescent="0.25">
      <c r="A9" s="45" t="s">
        <v>117</v>
      </c>
      <c r="B9" s="1"/>
      <c r="C9" s="1"/>
      <c r="D9" s="2"/>
      <c r="E9" s="45" t="s">
        <v>124</v>
      </c>
      <c r="F9" s="1"/>
      <c r="G9" s="1"/>
      <c r="H9" s="2"/>
      <c r="I9" s="45" t="s">
        <v>166</v>
      </c>
      <c r="J9" s="1"/>
      <c r="K9" s="1"/>
      <c r="L9" s="2"/>
    </row>
    <row r="10" spans="1:12" x14ac:dyDescent="0.25">
      <c r="A10" s="46">
        <f>'Use Cases'!O13</f>
        <v>175961.36250000002</v>
      </c>
      <c r="B10" s="1"/>
      <c r="C10" s="1"/>
      <c r="D10" s="2"/>
      <c r="E10" s="47">
        <f>IF(Steuerung!B30=0,0,('Use Cases'!O13-Steuerung!B30)/Steuerung!B30)</f>
        <v>-0.45276950741307337</v>
      </c>
      <c r="F10" s="1"/>
      <c r="G10" s="1"/>
      <c r="H10" s="2"/>
      <c r="I10" s="48">
        <f>SUMIF('Use Cases'!Q6:Q12,"Credits",'Use Cases'!J6:J12)</f>
        <v>2152980</v>
      </c>
      <c r="J10" s="1"/>
      <c r="K10" s="1"/>
      <c r="L10" s="2"/>
    </row>
    <row r="11" spans="1:12" x14ac:dyDescent="0.25">
      <c r="A11" s="1"/>
      <c r="B11" s="1"/>
      <c r="C11" s="1"/>
      <c r="D11" s="2"/>
      <c r="E11" s="1"/>
      <c r="F11" s="1"/>
      <c r="G11" s="1"/>
      <c r="H11" s="2"/>
      <c r="I11" s="1"/>
      <c r="J11" s="1"/>
      <c r="K11" s="1"/>
      <c r="L11" s="2"/>
    </row>
  </sheetData>
  <mergeCells count="14">
    <mergeCell ref="A3:L3"/>
    <mergeCell ref="A6:C7"/>
    <mergeCell ref="A9:C9"/>
    <mergeCell ref="A2:L2"/>
    <mergeCell ref="E6:G7"/>
    <mergeCell ref="I6:K7"/>
    <mergeCell ref="E9:G9"/>
    <mergeCell ref="I9:K9"/>
    <mergeCell ref="I10:K11"/>
    <mergeCell ref="E5:G5"/>
    <mergeCell ref="A10:C11"/>
    <mergeCell ref="I5:K5"/>
    <mergeCell ref="E10:G11"/>
    <mergeCell ref="A5:C5"/>
  </mergeCells>
  <pageMargins left="0.75" right="0.75" top="1" bottom="1" header="0.5" footer="0.5"/>
  <pageSetup paperSize="9" scale="78" fitToHeight="0" orientation="landscape" r:id="rId1"/>
  <headerFooter>
    <oddFooter>&amp;L&amp;8Björn-Olaf Lange · www.langeatn.de · Version 1.0&amp;R&amp;8Seite &amp;P von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8"/>
  <sheetViews>
    <sheetView showGridLines="0" workbookViewId="0">
      <pane ySplit="4" topLeftCell="A5" activePane="bottomLeft" state="frozenSplit"/>
      <selection pane="bottomLeft"/>
    </sheetView>
  </sheetViews>
  <sheetFormatPr baseColWidth="10" defaultColWidth="9.140625" defaultRowHeight="15" x14ac:dyDescent="0.25"/>
  <cols>
    <col min="1" max="1" width="40" customWidth="1"/>
    <col min="2" max="2" width="72" customWidth="1"/>
    <col min="3" max="3" width="80" customWidth="1"/>
  </cols>
  <sheetData>
    <row r="1" spans="1:6" ht="21" customHeight="1" x14ac:dyDescent="0.25">
      <c r="A1" s="17" t="s">
        <v>181</v>
      </c>
      <c r="B1" s="16"/>
      <c r="C1" s="16"/>
      <c r="D1" s="16"/>
      <c r="E1" s="16"/>
      <c r="F1" s="18" t="s">
        <v>147</v>
      </c>
    </row>
    <row r="2" spans="1:6" ht="30" customHeight="1" x14ac:dyDescent="0.4">
      <c r="A2" s="19" t="s">
        <v>125</v>
      </c>
      <c r="B2" s="19"/>
      <c r="C2" s="19"/>
      <c r="D2" s="19"/>
      <c r="E2" s="19"/>
      <c r="F2" s="19"/>
    </row>
    <row r="3" spans="1:6" x14ac:dyDescent="0.25">
      <c r="A3" s="4" t="s">
        <v>126</v>
      </c>
      <c r="B3" s="20"/>
      <c r="C3" s="20"/>
      <c r="D3" s="20"/>
      <c r="E3" s="20"/>
      <c r="F3" s="20"/>
    </row>
    <row r="4" spans="1:6" x14ac:dyDescent="0.25">
      <c r="A4" s="2"/>
      <c r="B4" s="21" t="s">
        <v>182</v>
      </c>
      <c r="C4" s="22" t="s">
        <v>183</v>
      </c>
      <c r="D4" s="23" t="s">
        <v>184</v>
      </c>
      <c r="E4" s="2"/>
      <c r="F4" s="2"/>
    </row>
    <row r="5" spans="1:6" x14ac:dyDescent="0.25">
      <c r="A5" s="6" t="s">
        <v>127</v>
      </c>
      <c r="B5" s="1"/>
      <c r="C5" s="1"/>
      <c r="D5" s="1"/>
      <c r="E5" s="1"/>
      <c r="F5" s="1"/>
    </row>
    <row r="6" spans="1:6" ht="30" customHeight="1" x14ac:dyDescent="0.25">
      <c r="A6" s="49" t="s">
        <v>128</v>
      </c>
      <c r="B6" s="50" t="s">
        <v>178</v>
      </c>
      <c r="C6" s="33" t="s">
        <v>167</v>
      </c>
      <c r="D6" s="33"/>
      <c r="E6" s="33"/>
      <c r="F6" s="33"/>
    </row>
    <row r="7" spans="1:6" ht="30" customHeight="1" x14ac:dyDescent="0.25">
      <c r="A7" s="49" t="s">
        <v>129</v>
      </c>
      <c r="B7" s="50" t="s">
        <v>179</v>
      </c>
      <c r="C7" s="33" t="s">
        <v>168</v>
      </c>
      <c r="D7" s="33"/>
      <c r="E7" s="33"/>
      <c r="F7" s="33"/>
    </row>
    <row r="8" spans="1:6" ht="30" customHeight="1" x14ac:dyDescent="0.25">
      <c r="A8" s="49" t="s">
        <v>169</v>
      </c>
      <c r="B8" s="50" t="s">
        <v>180</v>
      </c>
      <c r="C8" s="33" t="s">
        <v>170</v>
      </c>
      <c r="D8" s="33"/>
      <c r="E8" s="33"/>
      <c r="F8" s="33"/>
    </row>
    <row r="9" spans="1:6" x14ac:dyDescent="0.25">
      <c r="A9" s="2" t="s">
        <v>171</v>
      </c>
      <c r="B9" s="2" t="s">
        <v>172</v>
      </c>
      <c r="C9" s="2"/>
      <c r="D9" s="2"/>
      <c r="E9" s="2"/>
      <c r="F9" s="2"/>
    </row>
    <row r="10" spans="1:6" x14ac:dyDescent="0.25">
      <c r="A10" s="2"/>
      <c r="B10" s="2"/>
      <c r="C10" s="2"/>
      <c r="D10" s="2"/>
      <c r="E10" s="2"/>
      <c r="F10" s="2"/>
    </row>
    <row r="11" spans="1:6" x14ac:dyDescent="0.25">
      <c r="A11" s="6" t="s">
        <v>130</v>
      </c>
      <c r="B11" s="1"/>
      <c r="C11" s="1"/>
      <c r="D11" s="1"/>
      <c r="E11" s="1"/>
      <c r="F11" s="1"/>
    </row>
    <row r="12" spans="1:6" ht="32.1" customHeight="1" x14ac:dyDescent="0.25">
      <c r="A12" s="2" t="s">
        <v>131</v>
      </c>
      <c r="B12" s="51" t="s">
        <v>132</v>
      </c>
      <c r="C12" s="1"/>
      <c r="D12" s="1"/>
      <c r="E12" s="1"/>
      <c r="F12" s="1"/>
    </row>
    <row r="13" spans="1:6" ht="32.1" customHeight="1" x14ac:dyDescent="0.25">
      <c r="A13" s="2" t="s">
        <v>133</v>
      </c>
      <c r="B13" s="51" t="s">
        <v>134</v>
      </c>
      <c r="C13" s="1"/>
      <c r="D13" s="1"/>
      <c r="E13" s="1"/>
      <c r="F13" s="1"/>
    </row>
    <row r="14" spans="1:6" ht="32.1" customHeight="1" x14ac:dyDescent="0.25">
      <c r="A14" s="2" t="s">
        <v>135</v>
      </c>
      <c r="B14" s="51" t="s">
        <v>136</v>
      </c>
      <c r="C14" s="1"/>
      <c r="D14" s="1"/>
      <c r="E14" s="1"/>
      <c r="F14" s="1"/>
    </row>
    <row r="15" spans="1:6" ht="32.1" customHeight="1" x14ac:dyDescent="0.25">
      <c r="A15" s="2" t="s">
        <v>137</v>
      </c>
      <c r="B15" s="51" t="s">
        <v>138</v>
      </c>
      <c r="C15" s="1"/>
      <c r="D15" s="1"/>
      <c r="E15" s="1"/>
      <c r="F15" s="1"/>
    </row>
    <row r="16" spans="1:6" ht="32.1" customHeight="1" x14ac:dyDescent="0.25">
      <c r="A16" s="2" t="s">
        <v>139</v>
      </c>
      <c r="B16" s="51" t="s">
        <v>140</v>
      </c>
      <c r="C16" s="1"/>
      <c r="D16" s="1"/>
      <c r="E16" s="1"/>
      <c r="F16" s="1"/>
    </row>
    <row r="17" spans="1:6" ht="30" customHeight="1" x14ac:dyDescent="0.25">
      <c r="A17" s="52" t="s">
        <v>177</v>
      </c>
      <c r="B17" s="33" t="s">
        <v>173</v>
      </c>
      <c r="C17" s="33"/>
      <c r="D17" s="33"/>
      <c r="E17" s="33"/>
      <c r="F17" s="33"/>
    </row>
    <row r="18" spans="1:6" x14ac:dyDescent="0.25">
      <c r="A18" s="2"/>
      <c r="B18" s="2"/>
      <c r="C18" s="2"/>
      <c r="D18" s="2"/>
      <c r="E18" s="2"/>
      <c r="F18" s="2"/>
    </row>
    <row r="19" spans="1:6" x14ac:dyDescent="0.25">
      <c r="A19" s="6" t="s">
        <v>141</v>
      </c>
      <c r="B19" s="1"/>
      <c r="C19" s="1"/>
      <c r="D19" s="1"/>
      <c r="E19" s="1"/>
      <c r="F19" s="1"/>
    </row>
    <row r="20" spans="1:6" x14ac:dyDescent="0.25">
      <c r="A20" s="2">
        <v>1</v>
      </c>
      <c r="B20" s="2" t="s">
        <v>142</v>
      </c>
      <c r="C20" s="2"/>
      <c r="D20" s="2"/>
      <c r="E20" s="2"/>
      <c r="F20" s="2"/>
    </row>
    <row r="21" spans="1:6" x14ac:dyDescent="0.25">
      <c r="A21" s="2">
        <v>2</v>
      </c>
      <c r="B21" s="2" t="s">
        <v>143</v>
      </c>
      <c r="C21" s="2"/>
      <c r="D21" s="2"/>
      <c r="E21" s="2"/>
      <c r="F21" s="2"/>
    </row>
    <row r="22" spans="1:6" x14ac:dyDescent="0.25">
      <c r="A22" s="2">
        <v>3</v>
      </c>
      <c r="B22" s="2" t="s">
        <v>144</v>
      </c>
      <c r="C22" s="2"/>
      <c r="D22" s="2"/>
      <c r="E22" s="2"/>
      <c r="F22" s="2"/>
    </row>
    <row r="23" spans="1:6" x14ac:dyDescent="0.25">
      <c r="A23" s="2">
        <v>4</v>
      </c>
      <c r="B23" s="2" t="s">
        <v>145</v>
      </c>
      <c r="C23" s="2"/>
      <c r="D23" s="2"/>
      <c r="E23" s="2"/>
      <c r="F23" s="2"/>
    </row>
    <row r="24" spans="1:6" x14ac:dyDescent="0.25">
      <c r="A24" s="2">
        <v>5</v>
      </c>
      <c r="B24" s="2" t="s">
        <v>146</v>
      </c>
      <c r="C24" s="2"/>
      <c r="D24" s="2"/>
      <c r="E24" s="2"/>
      <c r="F24" s="2"/>
    </row>
    <row r="25" spans="1:6" x14ac:dyDescent="0.25">
      <c r="A25" s="26"/>
      <c r="B25" s="26"/>
      <c r="C25" s="26"/>
      <c r="D25" s="26"/>
      <c r="E25" s="26"/>
      <c r="F25" s="26"/>
    </row>
    <row r="26" spans="1:6" x14ac:dyDescent="0.25">
      <c r="A26" s="6" t="s">
        <v>174</v>
      </c>
      <c r="B26" s="1"/>
      <c r="C26" s="1"/>
      <c r="D26" s="1"/>
      <c r="E26" s="1"/>
      <c r="F26" s="1"/>
    </row>
    <row r="27" spans="1:6" ht="45" customHeight="1" x14ac:dyDescent="0.25">
      <c r="A27" s="33" t="s">
        <v>175</v>
      </c>
      <c r="B27" s="33"/>
      <c r="C27" s="33"/>
      <c r="D27" s="33"/>
      <c r="E27" s="33"/>
      <c r="F27" s="33"/>
    </row>
    <row r="28" spans="1:6" ht="45" customHeight="1" x14ac:dyDescent="0.25">
      <c r="A28" s="33" t="s">
        <v>176</v>
      </c>
      <c r="B28" s="33"/>
      <c r="C28" s="33"/>
      <c r="D28" s="33"/>
      <c r="E28" s="33"/>
      <c r="F28" s="33"/>
    </row>
  </sheetData>
  <mergeCells count="17">
    <mergeCell ref="A26:F26"/>
    <mergeCell ref="A27:F27"/>
    <mergeCell ref="A28:F28"/>
    <mergeCell ref="A2:F2"/>
    <mergeCell ref="A19:F19"/>
    <mergeCell ref="A5:F5"/>
    <mergeCell ref="B15:F15"/>
    <mergeCell ref="B14:F14"/>
    <mergeCell ref="A3:F3"/>
    <mergeCell ref="B13:F13"/>
    <mergeCell ref="A11:F11"/>
    <mergeCell ref="B16:F16"/>
    <mergeCell ref="B12:F12"/>
    <mergeCell ref="B17:F17"/>
    <mergeCell ref="C6:F6"/>
    <mergeCell ref="C7:F7"/>
    <mergeCell ref="C8:F8"/>
  </mergeCells>
  <hyperlinks>
    <hyperlink ref="B6" r:id="rId1" tooltip="https://www.microsoft.com/licensing/guidance/Copilot-Credits" xr:uid="{B32E2C13-873C-4AE7-A2B9-53AC692C79B7}"/>
    <hyperlink ref="B7" r:id="rId2" tooltip="https://learn.microsoft.com/en-us/microsoft-365/copilot/usage-based-billing-overview-copilot-credits" xr:uid="{27C3293C-C7C1-4B84-81D2-5367AD3BD3F3}"/>
    <hyperlink ref="B8" r:id="rId3" tooltip="https://learn.microsoft.com/en-us/microsoft-copilot-studio/requirements-messages-management" xr:uid="{2F5703C5-E06B-4D1F-9AFA-D933028DA3F2}"/>
  </hyperlinks>
  <pageMargins left="0.75" right="0.75" top="1" bottom="1" header="0.5" footer="0.5"/>
  <pageSetup paperSize="9" scale="39" fitToHeight="0" orientation="portrait" r:id="rId4"/>
  <headerFooter>
    <oddFooter>&amp;L&amp;8Björn-Olaf Lange · www.langeatn.de · Version 1.0&amp;R&amp;8Seite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Steuerung</vt:lpstr>
      <vt:lpstr>Use Cases</vt:lpstr>
      <vt:lpstr>Monatsbudget</vt:lpstr>
      <vt:lpstr>Szenarien</vt:lpstr>
      <vt:lpstr>Dashboard</vt:lpstr>
      <vt:lpstr>Quellen &amp; Hinweise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KI-Budgetmodell 2027</dc:title>
  <dc:creator>Björn-Olaf Lange</dc:creator>
  <cp:lastModifiedBy>Björn-Olaf Lange</cp:lastModifiedBy>
  <dcterms:created xsi:type="dcterms:W3CDTF">2026-10-16T06:11:07Z</dcterms:created>
  <dcterms:modified xsi:type="dcterms:W3CDTF">2026-10-19T21:19:53Z</dcterms:modified>
</cp:coreProperties>
</file>